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AEF856EF-979F-2843-AA83-843941A90700}" xr6:coauthVersionLast="47" xr6:coauthVersionMax="47" xr10:uidLastSave="{00000000-0000-0000-0000-000000000000}"/>
  <bookViews>
    <workbookView xWindow="3700" yWindow="50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<sst xmlns="http://schemas.openxmlformats.org/spreadsheetml/2006/main" count="521" uniqueCount="268">
  <si>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</si>
  <si>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</si>
  <si>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</si>
  <si>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</si>
  <si>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</si>
  <si>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</si>
  <si>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</si>
  <si>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</si>
  <si>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</si>
  <si>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</si>
  <si>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</si>
  <si>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</si>
  <si>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</si>
  <si>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</si>
  <si>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</si>
  <si>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</si>
  <si>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</si>
  <si>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</si>
  <si>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</si>
  <si>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</si>
  <si>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</si>
  <si>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</si>
  <si>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</si>
  <si>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</si>
  <si>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</si>
  <si>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</si>
  <si>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</si>
  <si>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</si>
  <si>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</si>
  <si>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</si>
  <si>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</si>
  <si>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</si>
  <si>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</si>
  <si>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</si>
  <si>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</si>
  <si>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</si>
  <si>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</si>
  <si>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</si>
  <si>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</si>
  <si>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</si>
  <si>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</si>
  <si>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</si>
  <si>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</si>
  <si>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</si>
  <si>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</si>
  <si>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</si>
  <si>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</si>
  <si>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</si>
  <si>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</si>
  <si>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</si>
  <si>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</si>
  <si>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</si>
  <si>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</si>
  <si>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</si>
  <si>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</si>
  <si>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</si>
  <si>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</si>
  <si>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</si>
  <si>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</si>
  <si>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</si>
  <si>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</si>
  <si>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</si>
  <si>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</si>
  <si>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</si>
  <si>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</si>
  <si>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</si>
  <si>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</si>
  <si>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</si>
  <si>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</si>
  <si>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</si>
  <si>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</si>
  <si>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</si>
  <si>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</si>
  <si>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</si>
  <si>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</si>
  <si>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</si>
  <si>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</si>
  <si>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</si>
  <si>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</si>
  <si>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</si>
  <si>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</si>
  <si>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</si>
  <si>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</si>
  <si>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</si>
  <si>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</si>
  <si>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</si>
  <si>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</si>
  <si>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</si>
  <si>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</si>
  <si>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</si>
  <si>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</si>
  <si>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</si>
  <si>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</si>
  <si>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</si>
  <si>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</si>
  <si>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</si>
  <si>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</si>
  <si>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</si>
  <si>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</si>
  <si>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</si>
  <si>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</si>
  <si>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</si>
  <si>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</si>
  <si>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</si>
  <si>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</si>
  <si>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</si>
  <si>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</si>
  <si>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</si>
  <si>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</si>
  <si>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</si>
  <si>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</si>
  <si>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</si>
  <si>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</si>
  <si>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</si>
  <si>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</si>
  <si>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</si>
  <si>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</si>
  <si>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</si>
  <si>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</si>
  <si>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</si>
  <si>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</si>
  <si>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</si>
  <si>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</si>
  <si>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</si>
  <si>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</si>
  <si>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</si>
  <si>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</si>
  <si>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</si>
  <si>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</si>
  <si>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</si>
  <si>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</si>
  <si>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</si>
  <si>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</si>
  <si>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</si>
  <si>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</si>
  <si>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</si>
  <si>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</si>
  <si>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</si>
  <si>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</si>
  <si>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</si>
  <si>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</si>
  <si>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</si>
  <si>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</si>
  <si>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</si>
  <si>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</si>
  <si>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</si>
  <si>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</si>
  <si>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</si>
  <si>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</si>
  <si>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</si>
  <si>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</si>
  <si>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</si>
  <si>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</si>
  <si>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</si>
  <si>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</si>
  <si>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</si>
  <si>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</si>
  <si>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</si>
  <si>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</si>
  <si>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</si>
  <si>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</si>
  <si>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</si>
  <si>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</si>
  <si>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</si>
  <si>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</si>
  <si>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</si>
  <si>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</si>
  <si>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</si>
  <si>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</si>
  <si>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</si>
  <si>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</si>
  <si>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</si>
  <si>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</si>
  <si>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</si>
  <si>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</si>
  <si>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</si>
  <si>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</si>
  <si>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</si>
  <si>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</si>
  <si>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</si>
  <si>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</si>
  <si>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</si>
  <si>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</si>
  <si>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</si>
  <si>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</si>
  <si>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</si>
  <si>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</si>
  <si>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</si>
  <si>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</si>
  <si>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</si>
  <si>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</si>
  <si>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</si>
  <si>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</si>
  <si>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</si>
  <si>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</si>
  <si>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</si>
  <si>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</si>
  <si>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</si>
  <si>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</si>
  <si>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</si>
  <si>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</si>
  <si>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</si>
  <si>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</si>
  <si>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</si>
  <si>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</si>
  <si>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</si>
  <si>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</si>
  <si>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</si>
  <si>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</si>
  <si>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</si>
  <si>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</si>
  <si>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</si>
  <si>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</si>
  <si>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</si>
  <si>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</si>
  <si>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</si>
  <si>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</si>
  <si>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</si>
  <si>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</si>
  <si>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</si>
  <si>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</si>
  <si>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</si>
  <si>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</si>
  <si>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</si>
  <si>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</si>
  <si>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</si>
  <si>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</si>
  <si>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</si>
  <si>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</si>
  <si>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</si>
  <si>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</si>
  <si>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</si>
  <si>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</si>
  <si>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</si>
  <si>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</si>
  <si>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</si>
  <si>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</si>
  <si>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</si>
  <si>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</si>
  <si>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</si>
  <si>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</si>
  <si>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</si>
  <si>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</si>
  <si>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</si>
  <si>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</si>
  <si>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</si>
  <si>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</si>
  <si>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</si>
  <si>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</si>
  <si>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</si>
  <si>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</si>
  <si>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</si>
  <si>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</si>
  <si>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</si>
  <si>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</si>
  <si>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</si>
  <si>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</si>
  <si>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</si>
  <si>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</si>
  <si>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</si>
  <si>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</si>
  <si>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</si>
  <si>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</si>
  <si>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</si>
  <si>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</si>
  <si>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</si>
  <si>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s</t>
  </si>
  <si>
    <t>15,22,21,23,14,30,28,32,7,1,26,12,4,27,19,2,3,31,13,24,10,9,5,8,25,11,20,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</si>
</sst>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15"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2" borderId="32" xfId="0" applyFill="1" applyBorder="1" applyAlignment="1">
      <alignment horizontal="center" vertical="top" wrapText="1"/>
    </xf>
    <xf numFmtId="0" fontId="0" fillId="2" borderId="34" xfId="0" applyFill="1" applyBorder="1" applyAlignment="1">
      <alignment horizontal="center"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0" borderId="34" xfId="0" applyBorder="1" applyAlignment="1">
      <alignment horizontal="center" vertical="top"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xf numFmtId="0" fontId="15" fillId="0" borderId="0" xfId="0" applyFont="1" applyAlignment="1">
      <alignment vertical="center" wrapText="1"/>
    </xf>
    <xf numFmtId="0" fontId="15" fillId="0" borderId="0" xfId="0" applyFont="1"/>
    <xf numFmtId="0" fontId="15" fillId="0" borderId="0" xfId="0" quotePrefix="1" applyFont="1" applyAlignment="1">
      <alignment vertical="center" wrapText="1"/>
    </xf>
    <xf numFmtId="0" fontId="15" fillId="0" borderId="0" xfId="0" applyFont="1" applyAlignment="1">
      <alignment horizontal="left" vertical="center" wrapText="1"/>
    </xf>
    <xf numFmtId="0" fontId="55" fillId="0" borderId="0" xfId="0" applyFont="1" applyAlignment="1">
      <alignment vertical="center" wrapText="1"/>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G1"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452" t="str">
        <f>IF(MID(C2,LEN(C2),1)=",",MID(C2,1,LEN(C2)-1), C2)</f>
        <v>15,22,21,23,14,30,28,32,7,1,26,12,4,27,19,2,3,31,13,24,10,9,5,8,25,11,20,,,,,,,,,,,,,,,,,,,,,,,,,,,,,,,,,,,,,,,,,,,,,,,,,,,,,,,,,,,,,,,,,,,,,,,,,,,,,,,,,,,,,,,,,,,,,,,,,,,,,,,,,,,,,,,,,,,,,,,,,,,,,,,,,,,,,,,,,,,,,,,,,,,,,,,,,,,,,,,</v>
      </c>
      <c r="D1" s="453"/>
      <c r="E1" s="453"/>
      <c r="F1" s="453"/>
      <c r="G1" s="453"/>
      <c r="H1" s="453"/>
      <c r="I1" s="453"/>
      <c r="J1" s="453"/>
      <c r="Q1" s="60"/>
      <c r="BB1" s="37"/>
      <c r="GQ1" s="206"/>
      <c r="GR1" s="169"/>
      <c r="GS1" s="207"/>
      <c r="GT1" s="201"/>
      <c r="GU1" s="150"/>
      <c r="GV1" s="41">
        <f>LEN(GX1)-LEN(SUBSTITUTE(GX1,",",""))+1</f>
        <v>32</v>
      </c>
      <c r="GW1" s="160" t="s">
        <v>77</v>
      </c>
      <c r="GX1" s="505" t="s">
        <v>265</v>
      </c>
      <c r="GY1" s="506"/>
      <c r="GZ1" s="507"/>
      <c r="HA1" s="134"/>
      <c r="HB1" s="42"/>
      <c r="HC1" s="117"/>
      <c r="HD1" s="511" t="s">
        <v>133</v>
      </c>
      <c r="HE1" s="512"/>
      <c r="HF1" s="512"/>
      <c r="HG1" s="513"/>
      <c r="HH1" s="228">
        <f>LEN(HI1)-LEN(SUBSTITUTE(HI1,",",""))+1</f>
        <v>28</v>
      </c>
      <c r="HI1" s="508" t="s">
        <v>267</v>
      </c>
      <c r="HJ1" s="509"/>
      <c r="HK1" s="509"/>
      <c r="HL1" s="509"/>
      <c r="HM1" s="509"/>
      <c r="HN1" s="509"/>
      <c r="HO1" s="509"/>
      <c r="HP1" s="510"/>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33.35 and   ?%  off best known sol.  Check sum: index sum in cell HI1 = 442 vs. sum of 1,…,n = 528; Overcapacity = 0. No. of stops = 27 feasibility = 0</v>
      </c>
      <c r="HS1" s="215" t="s">
        <v>262</v>
      </c>
      <c r="HT1" s="514" t="str">
        <f>SUBSTITUTE(SUBSTITUTE(","&amp;HI1,","&amp;MID(HS1,1,FIND(",",HS1)-1)&amp;",",",*****"&amp;MID(HS1,1,FIND(",",HS1)-1)&amp;","),    ","&amp;MID(HS1,FIND(",",HS1)+1,LEN(HS1)-FIND(",",HS1))&amp;",",",*****"&amp;MID(HS1,FIND(",",HS1)+1,LEN(HS1)-FIND(",",HS1))&amp;",")</f>
        <v>,15,22,21,23,14,30,28,32,7,1,26,12,4,27,19,2,3,31,13,24,10,9,5,8,25,11,*****20,</v>
      </c>
      <c r="HU1" s="515"/>
      <c r="HV1" s="490" t="s">
        <v>50</v>
      </c>
      <c r="HW1" s="491"/>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2"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15,22,21,23,14,30,28,32,7,1,26,12,4,27,19,2,3,31,13,24,10,9,5,8,25,11,20,,,,,,,,,,,,,,,,,,,,,,,,,,,,,,,,,,,,,,,,,,,,,,,,,,,,,,,,,,,,,,,,,,,,,,,,,,,,,,,,,,,,,,,,,,,,,,,,,,,,,,,,,,,,,,,,,,,,,,,,,,,,,,,,,,,,,,,,,,,,,,,,,,,,,,,,,,,,,,,,</v>
      </c>
      <c r="D2" s="9" t="s">
        <v>6</v>
      </c>
      <c r="E2" s="494" t="s">
        <v>19</v>
      </c>
      <c r="F2" s="495"/>
      <c r="H2" s="371">
        <f>Input!D7</f>
        <v>1</v>
      </c>
      <c r="I2" s="355" t="s">
        <v>156</v>
      </c>
      <c r="J2" s="372">
        <f>+Input!D8</f>
        <v>32</v>
      </c>
      <c r="K2" s="13" t="s">
        <v>157</v>
      </c>
      <c r="L2" s="373">
        <v>1000</v>
      </c>
      <c r="M2" s="502" t="s">
        <v>158</v>
      </c>
      <c r="N2" s="455"/>
      <c r="O2" s="455"/>
      <c r="P2" s="503">
        <f>Input!D10</f>
        <v>100</v>
      </c>
      <c r="Q2" s="504"/>
      <c r="R2" s="454" t="s">
        <v>159</v>
      </c>
      <c r="S2" s="455"/>
      <c r="T2" s="455"/>
      <c r="U2" s="455"/>
      <c r="V2" s="455"/>
      <c r="W2" s="456"/>
      <c r="X2" s="370">
        <f>Input!D11</f>
        <v>0</v>
      </c>
      <c r="Y2" s="457" t="s">
        <v>154</v>
      </c>
      <c r="Z2" s="458"/>
      <c r="AA2" s="458"/>
      <c r="AB2" s="503">
        <f>Input!D12</f>
        <v>0</v>
      </c>
      <c r="AC2" s="521"/>
      <c r="AD2" s="536" t="s">
        <v>155</v>
      </c>
      <c r="AE2" s="536"/>
      <c r="AF2" s="536"/>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102.11</v>
      </c>
      <c r="GV2" s="119" t="str">
        <f>"Uniform vehicle capacity = "&amp;L2</f>
        <v>Uniform vehicle capacity = 1000</v>
      </c>
      <c r="GW2" s="43" t="s">
        <v>74</v>
      </c>
      <c r="GX2" s="469"/>
      <c r="GY2" s="470"/>
      <c r="GZ2" s="471"/>
      <c r="HA2" s="44"/>
      <c r="HB2" s="42"/>
      <c r="HC2" s="35"/>
      <c r="HD2" s="472"/>
      <c r="HE2" s="473"/>
      <c r="HF2" s="473"/>
      <c r="HG2" s="474"/>
      <c r="HH2" s="268" t="s">
        <v>79</v>
      </c>
      <c r="HI2" s="516"/>
      <c r="HJ2" s="517"/>
      <c r="HK2" s="517"/>
      <c r="HL2" s="517"/>
      <c r="HM2" s="517"/>
      <c r="HN2" s="518"/>
      <c r="HO2" s="518"/>
      <c r="HP2" s="518"/>
      <c r="HQ2" s="451"/>
      <c r="HR2" s="270"/>
      <c r="HS2" s="403"/>
      <c r="HT2" s="265"/>
      <c r="HU2" s="269" t="str">
        <f>_xlfn.MINIFS(IB6:IB50,IB6:IB50,"&gt;0")&amp;"  "&amp;HV3&amp;"  "&amp;MATCH(_xlfn.MINIFS(IB6:IB50,IB6:IB50,"&gt;0"),IB6:IB50,0)</f>
        <v>108.55  1  7</v>
      </c>
      <c r="HV2" s="478" t="s">
        <v>18</v>
      </c>
      <c r="HW2" s="479"/>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114.21 with overcapacity = 99999 for index pair 1,32</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122.01 for index pair 28,1</v>
      </c>
      <c r="IA2" s="129"/>
      <c r="IB2" s="20"/>
      <c r="IF2" s="169" t="s">
        <v>258</v>
      </c>
      <c r="IG2" s="488"/>
      <c r="IH2" s="489"/>
      <c r="II2" s="489"/>
      <c r="IJ2" s="489"/>
      <c r="IQ2" s="535"/>
      <c r="IR2" s="535"/>
      <c r="IS2" s="535"/>
      <c r="IT2" s="535"/>
    </row>
    <row r="3" spans="1:276" ht="78" customHeight="1" thickBot="1" x14ac:dyDescent="0.25">
      <c r="A3" s="493"/>
      <c r="C3" s="496" t="s">
        <v>96</v>
      </c>
      <c r="D3" s="497"/>
      <c r="E3" s="497"/>
      <c r="F3" s="498"/>
      <c r="H3" s="22" t="s">
        <v>7</v>
      </c>
      <c r="I3" s="23" t="s">
        <v>17</v>
      </c>
      <c r="J3" s="24" t="s">
        <v>8</v>
      </c>
      <c r="K3" s="25" t="s">
        <v>12</v>
      </c>
      <c r="L3" s="220"/>
      <c r="U3" s="177" t="s">
        <v>160</v>
      </c>
      <c r="V3" s="374" t="s">
        <v>161</v>
      </c>
      <c r="W3" s="178" t="s">
        <v>162</v>
      </c>
      <c r="AC3" s="1"/>
      <c r="GP3" s="208"/>
      <c r="GQ3" s="212"/>
      <c r="GR3" s="205"/>
      <c r="GS3" s="211" t="str">
        <f ca="1">+TRIM(MID(GU4,FIND("i=",GU4,1)+3,2))</f>
        <v>32</v>
      </c>
      <c r="GT3" s="467" t="s">
        <v>60</v>
      </c>
      <c r="GU3" s="468"/>
      <c r="GV3" s="118">
        <v>1</v>
      </c>
      <c r="GW3" s="99"/>
      <c r="GX3" s="475" t="str">
        <f>SUBSTITUTE(SUBSTITUTE(SUBSTITUTE(","&amp;GX1&amp;",",","&amp;GV3&amp;",",","),",","",1),",","",+GV1-1)</f>
        <v>18,16,17,29,6,23,15,22,21,14,30,28,32,20,7,26,4,27,19,2,3,31,13,24,10,9,5,8,25,11,</v>
      </c>
      <c r="GY3" s="476"/>
      <c r="GZ3" s="477"/>
      <c r="HA3" s="45"/>
      <c r="HB3" s="46"/>
      <c r="HC3" s="36"/>
      <c r="HD3" s="526"/>
      <c r="HE3" s="527"/>
      <c r="HF3" s="527"/>
      <c r="HG3" s="528"/>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0 </v>
      </c>
      <c r="HZ3" s="204"/>
      <c r="IA3" s="210"/>
      <c r="IB3" s="46" t="s">
        <v>260</v>
      </c>
      <c r="IC3" s="20"/>
      <c r="ID3" s="20"/>
      <c r="IE3" s="20"/>
      <c r="IF3" s="447" t="s">
        <v>257</v>
      </c>
      <c r="IG3" s="532"/>
      <c r="IH3" s="533"/>
      <c r="II3" s="533"/>
      <c r="IJ3" s="534"/>
      <c r="IK3" s="485" t="s">
        <v>75</v>
      </c>
      <c r="IL3" s="486"/>
      <c r="IM3" s="486"/>
      <c r="IN3" s="487"/>
      <c r="IO3" s="522" t="s">
        <v>76</v>
      </c>
      <c r="IP3" s="523"/>
      <c r="IQ3" s="523"/>
      <c r="IR3" s="523"/>
      <c r="IS3" s="523"/>
      <c r="IT3" s="523"/>
      <c r="IU3" s="523"/>
      <c r="IV3" s="524"/>
    </row>
    <row r="4" spans="1:276" ht="111" customHeight="1" thickBot="1" x14ac:dyDescent="0.25">
      <c r="A4" s="1"/>
      <c r="C4" s="499"/>
      <c r="D4" s="500"/>
      <c r="E4" s="500"/>
      <c r="F4" s="501"/>
      <c r="H4" s="12">
        <f>+J2</f>
        <v>32</v>
      </c>
      <c r="I4" s="190">
        <f>SUM(I6:I20)+IF(H2=1,0,X2*MAX(MAX(J6:J20)-L2,0))+IF(H2=1,0,AB2*MAX(K6-P2,0))</f>
        <v>33.350000000000009</v>
      </c>
      <c r="J4" s="12">
        <f ca="1">SUM(J6:J20)</f>
        <v>33.75</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483"/>
      <c r="GO4" s="484"/>
      <c r="GP4" s="480" t="str">
        <f ca="1">"Perturbed infeasible route according to yellow filled cells GU4 &amp; GU5  --&gt; "&amp;OFFSET(GZ5,GS3,0)</f>
        <v xml:space="preserve">Perturbed infeasible route according to yellow filled cells GU4 &amp; GU5  --&gt; </v>
      </c>
      <c r="GQ4" s="481"/>
      <c r="GR4" s="481"/>
      <c r="GS4" s="482"/>
      <c r="GT4" s="122">
        <f ca="1">IF(MID(GW4,1,4)="No b","No better route (NBR) or No feasible route (NFS)",FIND(","&amp;GV3&amp;",",","&amp;OFFSET(GZ5,GX4,0)))</f>
        <v>75</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102.11 at i=  28</v>
      </c>
      <c r="GX4" s="465" t="str">
        <f>IF(MID(GW4,1,4)="No b","NBR or NFS",TRIM(MID(GW4,FIND("i=",GW4)+2,5)))</f>
        <v>28</v>
      </c>
      <c r="GY4" s="466"/>
      <c r="GZ4" s="466"/>
      <c r="HA4" s="47" t="s">
        <v>24</v>
      </c>
      <c r="HB4" s="48"/>
      <c r="HC4" s="6"/>
      <c r="HD4" s="529" t="s">
        <v>105</v>
      </c>
      <c r="HE4" s="530"/>
      <c r="HF4" s="530"/>
      <c r="HG4" s="531"/>
      <c r="HH4" s="16"/>
      <c r="HI4" s="218"/>
      <c r="HL4" s="32"/>
      <c r="HM4" s="281">
        <f ca="1">IF(AND('Vehicle site info'!AK5=HP4,HT21=0),1,0)</f>
        <v>0</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27</v>
      </c>
      <c r="HQ4" s="379">
        <f>SUM(HQ6:HQ20)</f>
        <v>33.350000000000009</v>
      </c>
      <c r="HR4" s="380">
        <f ca="1">IF(SUM(HR6:HR20)=0,"-",SUM(HR6:HR20))</f>
        <v>33.75</v>
      </c>
      <c r="HS4" s="381">
        <f>'Vehicle site info'!$F$5</f>
        <v>100</v>
      </c>
      <c r="HT4" s="10"/>
      <c r="HU4" s="274" t="s">
        <v>261</v>
      </c>
      <c r="HV4" s="272">
        <f>IF(AND(ISNUMBER(HW4),HV3&lt;=HP4),MATCH(_xlfn.MINIFS(IE6:IE182,IE6:IE182,"&lt;&gt;99999"),IE6:IE182,0),"-")</f>
        <v>7</v>
      </c>
      <c r="HW4" s="384">
        <f>IF(AND(MIN(IE6:IE190)&lt;&gt;99999,MIN(IE6:IE190)&lt;&gt;0),MIN(IE6:IE190),"NFS"&amp;" "&amp;"  over cap = "&amp;HT21)</f>
        <v>108.55</v>
      </c>
      <c r="HX4" s="116" t="s">
        <v>58</v>
      </c>
      <c r="HY4" s="181" t="s">
        <v>106</v>
      </c>
      <c r="HZ4" s="448"/>
      <c r="IA4" s="19"/>
      <c r="IB4" s="204" t="s">
        <v>259</v>
      </c>
      <c r="IC4" s="107"/>
      <c r="ID4" s="70"/>
      <c r="IE4" s="20"/>
      <c r="IF4" s="459" t="s">
        <v>48</v>
      </c>
      <c r="IG4" s="460"/>
      <c r="IH4" s="460"/>
      <c r="II4" s="460"/>
      <c r="IJ4" s="461"/>
      <c r="IK4" s="459" t="s">
        <v>61</v>
      </c>
      <c r="IL4" s="462"/>
      <c r="IM4" s="463"/>
      <c r="IN4" s="464"/>
      <c r="IO4" s="459" t="s">
        <v>49</v>
      </c>
      <c r="IP4" s="460"/>
      <c r="IQ4" s="460"/>
      <c r="IR4" s="525"/>
      <c r="IS4" s="459" t="s">
        <v>65</v>
      </c>
      <c r="IT4" s="462"/>
      <c r="IU4" s="463"/>
      <c r="IV4" s="464"/>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28</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 xml:space="preserve"> Reposition index 1 between indices 5 and 8</v>
      </c>
      <c r="GX5" s="49" t="s">
        <v>4</v>
      </c>
      <c r="GY5" s="103"/>
      <c r="GZ5" s="100" t="s">
        <v>38</v>
      </c>
      <c r="HA5" s="81" t="str">
        <f ca="1">IF(ISNUMBER(HQ4),HQ4&amp;","&amp;MAX(HR6:HR20)&amp;","&amp;HS6&amp;","&amp;HT21)</f>
        <v>33.35,33.75,0,0</v>
      </c>
      <c r="HB5" s="103"/>
      <c r="HC5" s="55"/>
      <c r="HD5" s="219" t="s">
        <v>26</v>
      </c>
      <c r="HE5" s="413" t="s">
        <v>51</v>
      </c>
      <c r="HF5" s="55" t="s">
        <v>21</v>
      </c>
      <c r="HG5" s="104" t="s">
        <v>35</v>
      </c>
      <c r="HH5" s="105">
        <f>_xlfn.MINIFS(HD6:HD190,HE6:HE190,0)</f>
        <v>102.11</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48</v>
      </c>
      <c r="HX5" s="50" t="s">
        <v>62</v>
      </c>
      <c r="HY5" s="55" t="str">
        <f ca="1">IF(ISNUMBER(HQ4),HQ4&amp;","&amp;MAX(HR6:HR20)&amp;","&amp;HS6&amp;","&amp;HM4,"")</f>
        <v>33.35,33.75,0,0</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15</v>
      </c>
      <c r="E6" s="164">
        <f>IF(ISNUMBER(D6),IF(C6&lt;&gt;C5,INDEX($M$6:$CJ$80,1,D6+1),INDEX($M$6:$CJ$80,MIN(D6,D5)+1,MAX(D6,D5)+1))+IF(C6&lt;&gt;C7,INDEX($M$6:$CJ$80,1,D6+1),0),"")</f>
        <v>0.66</v>
      </c>
      <c r="F6" s="1">
        <f ca="1">IF(ISNUMBER(D6),OFFSET($A$5,D6,0),"")</f>
        <v>1.25</v>
      </c>
      <c r="G6" s="1">
        <v>1</v>
      </c>
      <c r="H6" s="192">
        <v>32</v>
      </c>
      <c r="I6" s="425">
        <f>IF(H6&gt;0,SUMIF($C$6:$C$80,G6,$E$6:$E$80),"")</f>
        <v>33.350000000000009</v>
      </c>
      <c r="J6" s="189">
        <f ca="1">IF(H6&gt;0,SUMIF($C$6:$C$80,G6,$F$6:$F$80),"")</f>
        <v>33.75</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102.56,33.75,0,0</v>
      </c>
      <c r="HB6" s="107">
        <f>FIND(CHAR(1),SUBSTITUTE(HA6,",",CHAR(1),1))</f>
        <v>7</v>
      </c>
      <c r="HC6" s="56">
        <f>FIND(CHAR(1),SUBSTITUTE(HA6,",",CHAR(1),2))</f>
        <v>13</v>
      </c>
      <c r="HD6" s="108">
        <f t="shared" ref="HD6:HD37" si="0">_xlfn.NUMBERVALUE(IF(AND(GX6&lt;=$GV$1-1,HE6&lt;=$L$2),_xlfn.NUMBERVALUE(MID(HA6,1,HB6-1)),99999))</f>
        <v>102.56</v>
      </c>
      <c r="HE6" s="219">
        <f>IF(GX6&lt;=$GV$1-1,_xlfn.NUMBERVALUE(MID(HA6,FIND("*",SUBSTITUTE(HA6,",","*",3))+1,LEN(HA6)-2)),99999)</f>
        <v>0</v>
      </c>
      <c r="HF6" s="55">
        <f>_xlfn.NUMBERVALUE(IF(GX6&lt;=$GV$1-1,MID(TRIM(HA6),HC6+1,FIND("*",SUBSTITUTE(HA6,",","*",3))-HC6),99999))</f>
        <v>0</v>
      </c>
      <c r="HG6" s="108" t="str">
        <f>IF(AND(HD6&lt;&gt;99999,HE6=0,HF6&lt;=$P$2),"FEAS.","NFS")</f>
        <v>FEAS.</v>
      </c>
      <c r="HH6" s="85">
        <f>+IF(AND(HD6=$HH$5,HE6=0),1,0)</f>
        <v>0</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15</v>
      </c>
      <c r="HM6" s="108" cm="1">
        <f t="array" ref="HM6">IF(HJ6&lt;=$HH$1-1,IF(HK6&lt;&gt;HK5,INDEX($M$6:$GP$190,1,HL6+1),INDEX($M$6:$GP$190,MIN(HL6,HL5)+1,MAX(HL6,HL5)+1))+IF(HK6&lt;&gt;HK7,INDEX($M$6:$GP$190,1,HL6+1),0),"")</f>
        <v>0.66</v>
      </c>
      <c r="HN6" s="280" t="str">
        <f ca="1">IF(ISNUMBER(HL6),'Vehicle site info'!AK9,"")</f>
        <v>9:02 AM, 8:00 AM, 1</v>
      </c>
      <c r="HO6" s="29">
        <v>1</v>
      </c>
      <c r="HP6" s="310">
        <v>27</v>
      </c>
      <c r="HQ6" s="85">
        <f>IF(ISNUMBER(HP6),SUMIF($HK$6:$HK$190,HO6,$HM$6:$HM$190),"")</f>
        <v>33.350000000000009</v>
      </c>
      <c r="HR6" s="198">
        <f ca="1">IF(ISNUMBER(HK6),'Vehicle site info'!J9,"")</f>
        <v>33.75</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102.11 at i=  28</v>
      </c>
      <c r="IH6" s="30">
        <f>IF(OR(IF6=99999,ISERROR(FIND("Feasible",IG6,1))),99999,_xlfn.NUMBERVALUE(FIND("at",IG6,1)-FIND("distance =",IG6,1)-12))</f>
        <v>6</v>
      </c>
      <c r="II6" s="108">
        <f>IF(AND(IF6&lt;&gt;99999,MID(IG6,1,4)&lt;&gt;"No b"),_xlfn.NUMBERVALUE(MID(IG6,FIND("=",IG6,1)+2,IH6)),99999)</f>
        <v>102.11</v>
      </c>
      <c r="IJ6" s="133" t="str">
        <f ca="1">IF(IF6=99999,"-",IF($GV$3&lt;&gt;IF6,IJ6,$GW$5))</f>
        <v xml:space="preserve"> Reposition index 1 between indices 5 and 8</v>
      </c>
      <c r="IK6" s="84">
        <v>1</v>
      </c>
      <c r="IL6" s="429">
        <f ca="1">IF(OR(MIN($II$6:$II$190)=99999,MIN($II$6:$II$190)=0),"-",MIN($II$6:$II$190))</f>
        <v>102.11</v>
      </c>
      <c r="IM6" s="151">
        <f t="shared" ref="IM6:IM13" ca="1" si="1">IF(IL6="-","-",MATCH(IL6,$II$6:$II$190,0))</f>
        <v>1</v>
      </c>
      <c r="IN6" s="152" t="str">
        <f ca="1">IF(IM6="-","-",OFFSET($IJ$5,IM6,0))</f>
        <v xml:space="preserve"> Reposition index 1 between indices 5 and 8</v>
      </c>
      <c r="IO6" s="141">
        <f t="shared" ref="IO6:IO25" si="2">IF(HU6&lt;=$J$2,HU6,99999)</f>
        <v>1</v>
      </c>
      <c r="IP6" s="71">
        <f>IF(IO6&lt;99999,IF($HV$3&lt;&gt;IO6,IP6, $HV$4),99999)</f>
        <v>7</v>
      </c>
      <c r="IQ6" s="385">
        <f t="shared" ref="IQ6:IQ37" si="3">IF(IO6=99999,"-", IF($HV$3&lt;&gt;IO6,IQ6, $HW$4))</f>
        <v>108.55</v>
      </c>
      <c r="IR6" s="386">
        <f>IF(ISNUMBER(IQ6),IQ6,99999)</f>
        <v>108.55</v>
      </c>
      <c r="IS6" s="75">
        <v>1</v>
      </c>
      <c r="IT6" s="383">
        <f ca="1">IF(MIN($IR$6:$IR$190)=99999,"-",MIN($IR$6:$IR$190))</f>
        <v>106.96</v>
      </c>
      <c r="IU6" s="143">
        <f ca="1">IF(OR(IT6="-",IT6=0,IT6=99999),"-",MATCH(IT6,$IQ$6:$IQ$190,0))</f>
        <v>2</v>
      </c>
      <c r="IV6" s="75" t="str">
        <f ca="1">IF(IU6="-","-",OFFSET($IO$5,IU6,0)&amp;" and "&amp;OFFSET($IP$5,IU6,0))</f>
        <v>2 and 13</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22</v>
      </c>
      <c r="E7" s="18">
        <f t="shared" ref="E7:E70" si="6">IF(ISNUMBER(D7),IF(C7&lt;&gt;C6,INDEX($M$6:$CJ$80,1,D7+1),INDEX($M$6:$CJ$80,MIN(D7,D6)+1,MAX(D7,D6)+1))+IF(C7&lt;&gt;C8,INDEX($M$6:$CJ$80,1,D7+1),0),"")</f>
        <v>0.43</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129.59,33.75,0,0</v>
      </c>
      <c r="HB7" s="107">
        <f t="shared" ref="HB7:HB54" si="11">FIND(CHAR(1),SUBSTITUTE(HA7,",",CHAR(1),1))</f>
        <v>7</v>
      </c>
      <c r="HC7" s="56">
        <f t="shared" ref="HC7:HC54" si="12">FIND(CHAR(1),SUBSTITUTE(HA7,",",CHAR(1),2))</f>
        <v>13</v>
      </c>
      <c r="HD7" s="108">
        <f t="shared" si="0"/>
        <v>129.59</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22</v>
      </c>
      <c r="HM7" s="108" cm="1">
        <f t="array" ref="HM7">IF(HJ7&lt;=$HH$1-1,IF(HK7&lt;&gt;HK6,INDEX($M$6:$GP$190,1,HL7+1),INDEX($M$6:$GP$190,MIN(HL7,HL6)+1,MAX(HL7,HL6)+1))+IF(HK7&lt;&gt;HK8,INDEX($M$6:$GP$190,1,HL7+1),0),"")</f>
        <v>0.43</v>
      </c>
      <c r="HN7" s="280" t="str">
        <f ca="1">IF(ISNUMBER(HL7),'Vehicle site info'!AK10,"")</f>
        <v>9:03 AM, 7:00 AM, 1</v>
      </c>
      <c r="HO7" s="29">
        <v>2</v>
      </c>
      <c r="HP7" s="310"/>
      <c r="HQ7" s="85" t="str">
        <f t="shared" ref="HQ7:HQ20" si="19">IF(ISNUMBER(HP7),SUMIF($HK$6:$HK$190,HO7,$HM$6:$HM$190),"")</f>
        <v/>
      </c>
      <c r="HR7" s="266" t="str">
        <f>IF(ISNUMBER(HK7),'Vehicle site info'!J10,"")</f>
        <v/>
      </c>
      <c r="HS7" s="519"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116.92,33.75,0,0</v>
      </c>
      <c r="HZ7" s="75">
        <f t="shared" ref="HZ7:HZ54" si="23">FIND(CHAR(1),SUBSTITUTE(HY7,",",CHAR(1),1))</f>
        <v>7</v>
      </c>
      <c r="IA7" s="75">
        <f t="shared" ref="IA7:IA54" si="24">FIND(CHAR(1),SUBSTITUTE(HY7,",",CHAR(1),2))</f>
        <v>13</v>
      </c>
      <c r="IB7" s="387">
        <f t="shared" ref="IB7:IB39" si="25">_xlfn.NUMBERVALUE(IF(AND(HU7&lt;&gt;$HV$3,HU7&lt;=32),_xlfn.NUMBERVALUE(MID(HY7,1,HZ7-1)),99999))</f>
        <v>116.92</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116.92</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t="str">
        <f ca="1">IF(OR(SMALL($IR$6:IR$190,IS7)=99999,SMALL($IR$6:$IR$190,IS7)=IT6),"-",SMALL($IR$6:$IR$190,IS7))</f>
        <v>-</v>
      </c>
      <c r="IU7" s="76" t="str">
        <f t="shared" ref="IU7:IU14" ca="1" si="36">IF(OR(IT7="-",IT7=0,IT7=99999),"-",MATCH(IT7,$IQ$6:$IQ$190,0))</f>
        <v>-</v>
      </c>
      <c r="IV7" s="75" t="str">
        <f ca="1">IF(IU7="-","-",OFFSET($IO$5,IU7,0)&amp;" and "&amp;OFFSET($IP$5,IU7,0))</f>
        <v>-</v>
      </c>
      <c r="IW7" s="7">
        <v>2</v>
      </c>
      <c r="JM7" s="31"/>
      <c r="JN7" s="1"/>
      <c r="JO7" s="32" t="s">
        <v>67</v>
      </c>
      <c r="JP7" s="1" t="str">
        <v xml:space="preserve"> </v>
      </c>
    </row>
    <row r="8" spans="1:276" ht="19" customHeight="1" thickBot="1" x14ac:dyDescent="0.25">
      <c r="A8" s="282">
        <f>+Input!D21</f>
        <v>1.25</v>
      </c>
      <c r="B8" s="1">
        <v>3</v>
      </c>
      <c r="C8" s="188">
        <f t="shared" si="4"/>
        <v>1</v>
      </c>
      <c r="D8" s="230">
        <f t="shared" si="5"/>
        <v>21</v>
      </c>
      <c r="E8" s="18">
        <f t="shared" si="6"/>
        <v>0.56999999999999995</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129.78,33.75,0,0</v>
      </c>
      <c r="HB8" s="107">
        <f t="shared" si="11"/>
        <v>7</v>
      </c>
      <c r="HC8" s="56">
        <f t="shared" si="12"/>
        <v>13</v>
      </c>
      <c r="HD8" s="108">
        <f t="shared" si="0"/>
        <v>129.78</v>
      </c>
      <c r="HE8" s="219">
        <f t="shared" si="13"/>
        <v>0</v>
      </c>
      <c r="HF8" s="55">
        <f t="shared" si="14"/>
        <v>0</v>
      </c>
      <c r="HG8" s="108" t="str">
        <f t="shared" si="15"/>
        <v>FEAS.</v>
      </c>
      <c r="HH8" s="85">
        <f t="shared" si="16"/>
        <v>0</v>
      </c>
      <c r="HI8" s="106">
        <f t="shared" si="17"/>
        <v>9</v>
      </c>
      <c r="HJ8" s="29">
        <v>3</v>
      </c>
      <c r="HK8" s="85">
        <f t="shared" si="18"/>
        <v>1</v>
      </c>
      <c r="HL8" s="85">
        <f t="shared" ref="HL8:HL71" si="40">IF(HJ8&lt;=$HH$1-2,VALUE(MID($HI$1,+HI7+1,HI8-HI7-1)),IF(HJ8=$HH$1-1,VALUE(MID($HI$1,+HI7+1,HI8-HI7-1)),""))</f>
        <v>21</v>
      </c>
      <c r="HM8" s="108" cm="1">
        <f t="array" ref="HM8">IF(HJ8&lt;=$HH$1-1,IF(HK8&lt;&gt;HK7,INDEX($M$6:$GP$190,1,HL8+1),INDEX($M$6:$GP$190,MIN(HL8,HL7)+1,MAX(HL8,HL7)+1))+IF(HK8&lt;&gt;HK9,INDEX($M$6:$GP$190,1,HL8+1),0),"")</f>
        <v>0.56999999999999995</v>
      </c>
      <c r="HN8" s="280" t="str">
        <f ca="1">IF(ISNUMBER(HL8),'Vehicle site info'!AK11,"")</f>
        <v>9:04 AM, 9:00 AM, 1</v>
      </c>
      <c r="HO8" s="29">
        <v>3</v>
      </c>
      <c r="HP8" s="310"/>
      <c r="HQ8" s="85" t="str">
        <f t="shared" si="19"/>
        <v/>
      </c>
      <c r="HR8" s="266" t="str">
        <f>IF(ISNUMBER(HK8),'Vehicle site info'!J11,"")</f>
        <v/>
      </c>
      <c r="HS8" s="520"/>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118.9,33.75,0,0</v>
      </c>
      <c r="HZ8" s="75">
        <f t="shared" si="23"/>
        <v>6</v>
      </c>
      <c r="IA8" s="75">
        <f t="shared" si="24"/>
        <v>12</v>
      </c>
      <c r="IB8" s="387">
        <f t="shared" si="25"/>
        <v>118.9</v>
      </c>
      <c r="IC8" s="143">
        <f t="shared" si="26"/>
        <v>0</v>
      </c>
      <c r="ID8" s="75">
        <f>_xlfn.NUMBERVALUE(IF(AND(HU8&lt;&gt;$HV$3,HU8&lt;=$HP$4),MID(TRIM(HY8),IA8+1,FIND("*",SUBSTITUTE(HY8,",","*",3))-IA8),99999))</f>
        <v>0</v>
      </c>
      <c r="IE8" s="76">
        <f t="shared" si="27"/>
        <v>118.9</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f ca="1">IF(OR(SMALL($IR$6:IR$190,IS8)=99999,SMALL($IR$6:$IR$190,IS8)=MAX($IT$6:IT7)),"-",SMALL($IR$6:$IR$190,IS8))</f>
        <v>107.55</v>
      </c>
      <c r="IU8" s="76">
        <f t="shared" ca="1" si="36"/>
        <v>31</v>
      </c>
      <c r="IV8" s="75" t="str">
        <f t="shared" ref="IV8:IV13" ca="1" si="41">IF(IU8="-","-",OFFSET($IO$5,IU8,0)&amp;" and "&amp;OFFSET($IP$5,IU8,0))</f>
        <v>31 and 13</v>
      </c>
      <c r="IW8" s="7">
        <v>3</v>
      </c>
      <c r="JM8" s="31"/>
      <c r="JN8" s="1"/>
      <c r="JO8" s="32" t="s">
        <v>70</v>
      </c>
      <c r="JP8" s="1" t="str">
        <v xml:space="preserve"> </v>
      </c>
    </row>
    <row r="9" spans="1:276" ht="21" customHeight="1" thickBot="1" x14ac:dyDescent="0.25">
      <c r="A9" s="282">
        <f>+Input!D22</f>
        <v>1.25</v>
      </c>
      <c r="B9" s="1">
        <v>4</v>
      </c>
      <c r="C9" s="188">
        <f t="shared" si="4"/>
        <v>1</v>
      </c>
      <c r="D9" s="230">
        <f t="shared" si="5"/>
        <v>23</v>
      </c>
      <c r="E9" s="18">
        <f t="shared" si="6"/>
        <v>0.88</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113.6,33.75,0,0</v>
      </c>
      <c r="HB9" s="107">
        <f t="shared" si="11"/>
        <v>6</v>
      </c>
      <c r="HC9" s="56">
        <f t="shared" si="12"/>
        <v>12</v>
      </c>
      <c r="HD9" s="108">
        <f t="shared" si="0"/>
        <v>113.6</v>
      </c>
      <c r="HE9" s="219">
        <f t="shared" si="13"/>
        <v>0</v>
      </c>
      <c r="HF9" s="55">
        <f t="shared" si="14"/>
        <v>0</v>
      </c>
      <c r="HG9" s="108" t="str">
        <f t="shared" si="15"/>
        <v>FEAS.</v>
      </c>
      <c r="HH9" s="85">
        <f t="shared" si="16"/>
        <v>0</v>
      </c>
      <c r="HI9" s="106">
        <f t="shared" si="17"/>
        <v>12</v>
      </c>
      <c r="HJ9" s="29">
        <v>4</v>
      </c>
      <c r="HK9" s="85">
        <f t="shared" si="18"/>
        <v>1</v>
      </c>
      <c r="HL9" s="85">
        <f t="shared" si="40"/>
        <v>23</v>
      </c>
      <c r="HM9" s="108" cm="1">
        <f t="array" ref="HM9">IF(HJ9&lt;=$HH$1-1,IF(HK9&lt;&gt;HK8,INDEX($M$6:$GP$190,1,HL9+1),INDEX($M$6:$GP$190,MIN(HL9,HL8)+1,MAX(HL9,HL8)+1))+IF(HK9&lt;&gt;HK10,INDEX($M$6:$GP$190,1,HL9+1),0),"")</f>
        <v>0.88</v>
      </c>
      <c r="HN9" s="280" t="str">
        <f ca="1">IF(ISNUMBER(HL9),'Vehicle site info'!AK12,"")</f>
        <v>9:07 AM, 7:30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114.13,33.75,0,0</v>
      </c>
      <c r="HZ9" s="75">
        <f t="shared" si="23"/>
        <v>7</v>
      </c>
      <c r="IA9" s="75">
        <f t="shared" si="24"/>
        <v>13</v>
      </c>
      <c r="IB9" s="387">
        <f t="shared" si="25"/>
        <v>114.13</v>
      </c>
      <c r="IC9" s="143">
        <f t="shared" si="26"/>
        <v>0</v>
      </c>
      <c r="ID9" s="75">
        <f>_xlfn.NUMBERVALUE(IF(AND(HU9&lt;&gt;$HV$3,HU9&lt;=$HP$4),MID(TRIM(HY9),IA9+1,FIND("*",SUBSTITUTE(HY9,",","*",3))-IA9),99999))</f>
        <v>0</v>
      </c>
      <c r="IE9" s="76">
        <f t="shared" si="27"/>
        <v>114.13</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108.21</v>
      </c>
      <c r="IU9" s="76">
        <f t="shared" ca="1" si="36"/>
        <v>3</v>
      </c>
      <c r="IV9" s="75" t="str">
        <f t="shared" ca="1" si="41"/>
        <v>3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14</v>
      </c>
      <c r="E10" s="18">
        <f t="shared" si="6"/>
        <v>2.67</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129.26,33.75,0,0</v>
      </c>
      <c r="HB10" s="107">
        <f t="shared" si="11"/>
        <v>7</v>
      </c>
      <c r="HC10" s="56">
        <f t="shared" si="12"/>
        <v>13</v>
      </c>
      <c r="HD10" s="108">
        <f t="shared" si="0"/>
        <v>129.26</v>
      </c>
      <c r="HE10" s="219">
        <f t="shared" si="13"/>
        <v>0</v>
      </c>
      <c r="HF10" s="55">
        <f t="shared" si="14"/>
        <v>0</v>
      </c>
      <c r="HG10" s="108" t="str">
        <f t="shared" si="15"/>
        <v>FEAS.</v>
      </c>
      <c r="HH10" s="85">
        <f t="shared" si="16"/>
        <v>0</v>
      </c>
      <c r="HI10" s="106">
        <f t="shared" si="17"/>
        <v>15</v>
      </c>
      <c r="HJ10" s="29">
        <v>5</v>
      </c>
      <c r="HK10" s="85">
        <f t="shared" si="18"/>
        <v>1</v>
      </c>
      <c r="HL10" s="395">
        <f t="shared" si="40"/>
        <v>14</v>
      </c>
      <c r="HM10" s="108" cm="1">
        <f t="array" ref="HM10">IF(HJ10&lt;=$HH$1-1,IF(HK10&lt;&gt;HK9,INDEX($M$6:$GP$190,1,HL10+1),INDEX($M$6:$GP$190,MIN(HL10,HL9)+1,MAX(HL10,HL9)+1))+IF(HK10&lt;&gt;HK11,INDEX($M$6:$GP$190,1,HL10+1),0),"")</f>
        <v>2.67</v>
      </c>
      <c r="HN10" s="396" t="str">
        <f ca="1">IF(ISNUMBER(HL10),'Vehicle site info'!AK13,"")</f>
        <v>9:13 AM, 6:00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114.11,33.75,0,0</v>
      </c>
      <c r="HZ10" s="75">
        <f t="shared" si="23"/>
        <v>7</v>
      </c>
      <c r="IA10" s="75">
        <f t="shared" si="24"/>
        <v>13</v>
      </c>
      <c r="IB10" s="387">
        <f t="shared" si="25"/>
        <v>114.11</v>
      </c>
      <c r="IC10" s="143">
        <f t="shared" si="26"/>
        <v>0</v>
      </c>
      <c r="ID10" s="75">
        <f>_xlfn.NUMBERVALUE(IF(AND(HU10&lt;&gt;$HV$3,HU10&lt;=$HP$4),MID(TRIM(HY10),IA10+1,FIND("*",SUBSTITUTE(HY10,",","*",3))-IA10),99999))</f>
        <v>0</v>
      </c>
      <c r="IE10" s="76">
        <f t="shared" si="27"/>
        <v>114.11</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108.54</v>
      </c>
      <c r="IU10" s="76">
        <f t="shared" ca="1" si="36"/>
        <v>19</v>
      </c>
      <c r="IV10" s="75" t="str">
        <f t="shared" ca="1" si="41"/>
        <v>19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30</v>
      </c>
      <c r="E11" s="18">
        <f t="shared" si="6"/>
        <v>0.6</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111.98,33.75,0,0</v>
      </c>
      <c r="HB11" s="107">
        <f t="shared" si="11"/>
        <v>7</v>
      </c>
      <c r="HC11" s="56">
        <f t="shared" si="12"/>
        <v>13</v>
      </c>
      <c r="HD11" s="108">
        <f t="shared" si="0"/>
        <v>111.98</v>
      </c>
      <c r="HE11" s="219">
        <f t="shared" si="13"/>
        <v>0</v>
      </c>
      <c r="HF11" s="55">
        <f t="shared" si="14"/>
        <v>0</v>
      </c>
      <c r="HG11" s="108" t="str">
        <f t="shared" si="15"/>
        <v>FEAS.</v>
      </c>
      <c r="HH11" s="85">
        <f t="shared" si="16"/>
        <v>0</v>
      </c>
      <c r="HI11" s="106">
        <f t="shared" si="17"/>
        <v>18</v>
      </c>
      <c r="HJ11" s="29">
        <v>6</v>
      </c>
      <c r="HK11" s="85">
        <f t="shared" si="18"/>
        <v>1</v>
      </c>
      <c r="HL11" s="395">
        <f t="shared" si="40"/>
        <v>30</v>
      </c>
      <c r="HM11" s="108" cm="1">
        <f t="array" ref="HM11">IF(HJ11&lt;=$HH$1-1,IF(HK11&lt;&gt;HK10,INDEX($M$6:$GP$190,1,HL11+1),INDEX($M$6:$GP$190,MIN(HL11,HL10)+1,MAX(HL11,HL10)+1))+IF(HK11&lt;&gt;HK12,INDEX($M$6:$GP$190,1,HL11+1),0),"")</f>
        <v>0.6</v>
      </c>
      <c r="HN11" s="396" t="s">
        <v>266</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142.45,33.75,0,0</v>
      </c>
      <c r="HZ11" s="75">
        <f t="shared" si="23"/>
        <v>7</v>
      </c>
      <c r="IA11" s="75">
        <f t="shared" si="24"/>
        <v>13</v>
      </c>
      <c r="IB11" s="387">
        <f t="shared" si="25"/>
        <v>142.44999999999999</v>
      </c>
      <c r="IC11" s="143">
        <f t="shared" si="26"/>
        <v>0</v>
      </c>
      <c r="ID11" s="75">
        <f t="shared" ref="ID11:ID74" si="43">_xlfn.NUMBERVALUE(IF(AND(HU11&lt;&gt;$HV$3,HU11&lt;=$HP$4),MID(TRIM(HY11),IA11+1,FIND("*",SUBSTITUTE(HY11,",","*",3))-IA11),99999))</f>
        <v>0</v>
      </c>
      <c r="IE11" s="76">
        <f t="shared" si="27"/>
        <v>142.44999999999999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108.55</v>
      </c>
      <c r="IU11" s="76">
        <f t="shared" ca="1" si="36"/>
        <v>1</v>
      </c>
      <c r="IV11" s="75" t="str">
        <f t="shared" ca="1" si="41"/>
        <v>1 and 7</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28</v>
      </c>
      <c r="E12" s="18">
        <f>IF(ISNUMBER(D12),IF(C12&lt;&gt;C11,INDEX($M$6:$CJ$80,1,D12+1),INDEX($M$6:$CJ$80,MIN(D12,D11)+1,MAX(D12,D11)+1))+IF(C12&lt;&gt;C13,INDEX($M$6:$CJ$80,1,D12+1),0)," ")</f>
        <v>0.73</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106.89,33.75,0,0</v>
      </c>
      <c r="HB12" s="107">
        <f t="shared" si="11"/>
        <v>7</v>
      </c>
      <c r="HC12" s="56">
        <f t="shared" si="12"/>
        <v>13</v>
      </c>
      <c r="HD12" s="108">
        <f t="shared" si="0"/>
        <v>106.89</v>
      </c>
      <c r="HE12" s="219">
        <f t="shared" si="13"/>
        <v>0</v>
      </c>
      <c r="HF12" s="55">
        <f t="shared" si="14"/>
        <v>0</v>
      </c>
      <c r="HG12" s="108" t="str">
        <f t="shared" si="15"/>
        <v>FEAS.</v>
      </c>
      <c r="HH12" s="85">
        <f t="shared" si="16"/>
        <v>0</v>
      </c>
      <c r="HI12" s="106">
        <f t="shared" si="17"/>
        <v>21</v>
      </c>
      <c r="HJ12" s="29">
        <v>7</v>
      </c>
      <c r="HK12" s="85">
        <f t="shared" si="18"/>
        <v>1</v>
      </c>
      <c r="HL12" s="395">
        <f t="shared" si="40"/>
        <v>28</v>
      </c>
      <c r="HM12" s="108" cm="1">
        <f t="array" ref="HM12">IF(HJ12&lt;=$HH$1-1,IF(HK12&lt;&gt;HK11,INDEX($M$6:$GP$190,1,HL12+1),INDEX($M$6:$GP$190,MIN(HL12,HL11)+1,MAX(HL12,HL11)+1))+IF(HK12&lt;&gt;HK13,INDEX($M$6:$GP$190,1,HL12+1),0),"")</f>
        <v>0.73</v>
      </c>
      <c r="HN12" s="396" t="str">
        <f ca="1">IF(ISNUMBER(HL12),'Vehicle site info'!AK15,"")</f>
        <v>9:16 AM, 6:00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108.55,33.75,0,0</v>
      </c>
      <c r="HZ12" s="75">
        <f t="shared" si="23"/>
        <v>7</v>
      </c>
      <c r="IA12" s="75">
        <f t="shared" si="24"/>
        <v>13</v>
      </c>
      <c r="IB12" s="387">
        <f t="shared" si="25"/>
        <v>108.55</v>
      </c>
      <c r="IC12" s="143">
        <f t="shared" si="26"/>
        <v>0</v>
      </c>
      <c r="ID12" s="75">
        <f t="shared" si="43"/>
        <v>0</v>
      </c>
      <c r="IE12" s="76">
        <f t="shared" si="27"/>
        <v>108.55</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32</v>
      </c>
      <c r="E13" s="18">
        <f t="shared" si="6"/>
        <v>3.55</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106.48,33.75,0,0</v>
      </c>
      <c r="HB13" s="107">
        <f t="shared" si="11"/>
        <v>7</v>
      </c>
      <c r="HC13" s="56">
        <f t="shared" si="12"/>
        <v>13</v>
      </c>
      <c r="HD13" s="108">
        <f t="shared" si="0"/>
        <v>106.48</v>
      </c>
      <c r="HE13" s="219">
        <f t="shared" si="13"/>
        <v>0</v>
      </c>
      <c r="HF13" s="55">
        <f t="shared" si="14"/>
        <v>0</v>
      </c>
      <c r="HG13" s="108" t="str">
        <f t="shared" si="15"/>
        <v>FEAS.</v>
      </c>
      <c r="HH13" s="85">
        <f t="shared" si="16"/>
        <v>0</v>
      </c>
      <c r="HI13" s="106">
        <f t="shared" si="17"/>
        <v>24</v>
      </c>
      <c r="HJ13" s="29">
        <v>8</v>
      </c>
      <c r="HK13" s="85">
        <f t="shared" si="18"/>
        <v>1</v>
      </c>
      <c r="HL13" s="395">
        <f t="shared" si="40"/>
        <v>32</v>
      </c>
      <c r="HM13" s="108" cm="1">
        <f t="array" ref="HM13">IF(HJ13&lt;=$HH$1-1,IF(HK13&lt;&gt;HK12,INDEX($M$6:$GP$190,1,HL13+1),INDEX($M$6:$GP$190,MIN(HL13,HL12)+1,MAX(HL13,HL12)+1))+IF(HK13&lt;&gt;HK14,INDEX($M$6:$GP$190,1,HL13+1),0),"")</f>
        <v>3.55</v>
      </c>
      <c r="HN13" s="396" t="str">
        <f ca="1">IF(ISNUMBER(HL13),'Vehicle site info'!AK16,"")</f>
        <v>9:25 AM, 8:00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114.06,33.75,0,0</v>
      </c>
      <c r="HZ13" s="75">
        <f t="shared" si="23"/>
        <v>7</v>
      </c>
      <c r="IA13" s="75">
        <f t="shared" si="24"/>
        <v>13</v>
      </c>
      <c r="IB13" s="387">
        <f t="shared" si="25"/>
        <v>114.06</v>
      </c>
      <c r="IC13" s="143">
        <f t="shared" si="26"/>
        <v>0</v>
      </c>
      <c r="ID13" s="75">
        <f t="shared" si="43"/>
        <v>0</v>
      </c>
      <c r="IE13" s="76">
        <f t="shared" si="27"/>
        <v>114.06</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1</v>
      </c>
      <c r="D14" s="54">
        <f t="shared" si="5"/>
        <v>7</v>
      </c>
      <c r="E14" s="18">
        <f t="shared" si="6"/>
        <v>2.23</v>
      </c>
      <c r="F14" s="1">
        <f t="shared" ca="1" si="7"/>
        <v>1.25</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106.52,33.75,0,0</v>
      </c>
      <c r="HB14" s="107">
        <f t="shared" si="11"/>
        <v>7</v>
      </c>
      <c r="HC14" s="56">
        <f t="shared" si="12"/>
        <v>13</v>
      </c>
      <c r="HD14" s="108">
        <f t="shared" si="0"/>
        <v>106.52</v>
      </c>
      <c r="HE14" s="219">
        <f t="shared" si="13"/>
        <v>0</v>
      </c>
      <c r="HF14" s="55">
        <f t="shared" si="14"/>
        <v>0</v>
      </c>
      <c r="HG14" s="108" t="str">
        <f t="shared" si="15"/>
        <v>FEAS.</v>
      </c>
      <c r="HH14" s="85">
        <f t="shared" si="16"/>
        <v>0</v>
      </c>
      <c r="HI14" s="106">
        <f t="shared" si="17"/>
        <v>26</v>
      </c>
      <c r="HJ14" s="29">
        <v>9</v>
      </c>
      <c r="HK14" s="85">
        <f t="shared" si="18"/>
        <v>1</v>
      </c>
      <c r="HL14" s="395">
        <f t="shared" si="40"/>
        <v>7</v>
      </c>
      <c r="HM14" s="108" cm="1">
        <f t="array" ref="HM14">IF(HJ14&lt;=$HH$1-1,IF(HK14&lt;&gt;HK13,INDEX($M$6:$GP$190,1,HL14+1),INDEX($M$6:$GP$190,MIN(HL14,HL13)+1,MAX(HL14,HL13)+1))+IF(HK14&lt;&gt;HK15,INDEX($M$6:$GP$190,1,HL14+1),0),"")</f>
        <v>2.23</v>
      </c>
      <c r="HN14" s="396" t="str">
        <f ca="1">IF(ISNUMBER(HL14),'Vehicle site info'!AK17,"")</f>
        <v>9:30 AM, 7:30 AM, 1</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115,33.75,0,0</v>
      </c>
      <c r="HZ14" s="75">
        <f t="shared" si="23"/>
        <v>4</v>
      </c>
      <c r="IA14" s="75">
        <f t="shared" si="24"/>
        <v>10</v>
      </c>
      <c r="IB14" s="387">
        <f t="shared" si="25"/>
        <v>115</v>
      </c>
      <c r="IC14" s="143">
        <f t="shared" si="26"/>
        <v>0</v>
      </c>
      <c r="ID14" s="75">
        <f t="shared" si="43"/>
        <v>0</v>
      </c>
      <c r="IE14" s="76">
        <f t="shared" si="27"/>
        <v>115</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1</v>
      </c>
      <c r="D15" s="54">
        <f t="shared" si="5"/>
        <v>1</v>
      </c>
      <c r="E15" s="18">
        <f t="shared" si="6"/>
        <v>0.24</v>
      </c>
      <c r="F15" s="1">
        <f t="shared" ca="1" si="7"/>
        <v>1.25</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107.77,33.75,0,0</v>
      </c>
      <c r="HB15" s="107">
        <f t="shared" si="11"/>
        <v>7</v>
      </c>
      <c r="HC15" s="56">
        <f t="shared" si="12"/>
        <v>13</v>
      </c>
      <c r="HD15" s="108">
        <f t="shared" si="0"/>
        <v>107.77</v>
      </c>
      <c r="HE15" s="219">
        <f t="shared" si="13"/>
        <v>0</v>
      </c>
      <c r="HF15" s="55">
        <f t="shared" si="14"/>
        <v>0</v>
      </c>
      <c r="HG15" s="108" t="str">
        <f t="shared" si="15"/>
        <v>FEAS.</v>
      </c>
      <c r="HH15" s="85">
        <f t="shared" si="16"/>
        <v>0</v>
      </c>
      <c r="HI15" s="106">
        <f t="shared" si="17"/>
        <v>28</v>
      </c>
      <c r="HJ15" s="29">
        <v>10</v>
      </c>
      <c r="HK15" s="85">
        <f t="shared" si="18"/>
        <v>1</v>
      </c>
      <c r="HL15" s="395">
        <f t="shared" si="40"/>
        <v>1</v>
      </c>
      <c r="HM15" s="108" cm="1">
        <f t="array" ref="HM15">IF(HJ15&lt;=$HH$1-1,IF(HK15&lt;&gt;HK14,INDEX($M$6:$GP$190,1,HL15+1),INDEX($M$6:$GP$190,MIN(HL15,HL14)+1,MAX(HL15,HL14)+1))+IF(HK15&lt;&gt;HK16,INDEX($M$6:$GP$190,1,HL15+1),0),"")</f>
        <v>0.24</v>
      </c>
      <c r="HN15" s="396" t="str">
        <f ca="1">IF(ISNUMBER(HL15),'Vehicle site info'!AK18,"")</f>
        <v>9:31 AM, 8:30 AM, 1</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117.05,33.75,0,0</v>
      </c>
      <c r="HZ15" s="75">
        <f t="shared" si="23"/>
        <v>7</v>
      </c>
      <c r="IA15" s="75">
        <f t="shared" si="24"/>
        <v>13</v>
      </c>
      <c r="IB15" s="387">
        <f t="shared" si="25"/>
        <v>117.05</v>
      </c>
      <c r="IC15" s="143">
        <f t="shared" si="26"/>
        <v>0</v>
      </c>
      <c r="ID15" s="75">
        <f t="shared" si="43"/>
        <v>0</v>
      </c>
      <c r="IE15" s="76">
        <f t="shared" si="27"/>
        <v>117.05</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15</v>
      </c>
      <c r="IY15" s="7">
        <f t="shared" ref="IY15:IY70" si="49">+HL15</f>
        <v>1</v>
      </c>
      <c r="IZ15" s="223" cm="1">
        <f t="array" ref="IZ15">IF(IW15&lt;=$HH$1-1,
IF(IX15&lt;&gt;IX14,
INDEX($M$6:$GP$190,1,IY15+1),INDEX($M$6:$GP$190,MIN(IY15,IY14)+1,MAX(IY15,IY14)+1))+IF(IX15&lt;&gt;IX16,INDEX($M$6:$GP$190,1,IY15+1),0),"")</f>
        <v>2.04</v>
      </c>
      <c r="JA15" s="7" t="str">
        <f t="shared" ref="JA15:JA70" ca="1" si="50">+HN15</f>
        <v>9:31 AM, 8:30 AM, 1</v>
      </c>
      <c r="JE15" s="1"/>
      <c r="JG15" s="1" t="str">
        <f t="shared" ref="JG15:JG20" si="51">IF(AND(ISNUMBER(JE15)=TRUE,JE15&gt;$L$2),JE15-$L$2,"")</f>
        <v/>
      </c>
      <c r="JK15" s="115"/>
      <c r="JN15" s="1"/>
    </row>
    <row r="16" spans="1:276" ht="17" thickBot="1" x14ac:dyDescent="0.25">
      <c r="A16" s="282">
        <f>+Input!D29</f>
        <v>1.25</v>
      </c>
      <c r="B16" s="1">
        <v>11</v>
      </c>
      <c r="C16" s="188">
        <f t="shared" si="4"/>
        <v>1</v>
      </c>
      <c r="D16" s="54">
        <f t="shared" si="5"/>
        <v>26</v>
      </c>
      <c r="E16" s="18">
        <f t="shared" si="6"/>
        <v>3.58</v>
      </c>
      <c r="F16" s="1">
        <f t="shared" ca="1" si="7"/>
        <v>1.25</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112.35,33.75,0,0</v>
      </c>
      <c r="HB16" s="107">
        <f t="shared" si="11"/>
        <v>7</v>
      </c>
      <c r="HC16" s="56">
        <f t="shared" si="12"/>
        <v>13</v>
      </c>
      <c r="HD16" s="108">
        <f t="shared" si="0"/>
        <v>112.35</v>
      </c>
      <c r="HE16" s="219">
        <f t="shared" si="13"/>
        <v>0</v>
      </c>
      <c r="HF16" s="55">
        <f t="shared" si="14"/>
        <v>0</v>
      </c>
      <c r="HG16" s="108" t="str">
        <f t="shared" si="15"/>
        <v>FEAS.</v>
      </c>
      <c r="HH16" s="85">
        <f t="shared" si="16"/>
        <v>0</v>
      </c>
      <c r="HI16" s="106">
        <f t="shared" si="17"/>
        <v>31</v>
      </c>
      <c r="HJ16" s="29">
        <v>11</v>
      </c>
      <c r="HK16" s="85">
        <f t="shared" si="18"/>
        <v>1</v>
      </c>
      <c r="HL16" s="395">
        <f t="shared" si="40"/>
        <v>26</v>
      </c>
      <c r="HM16" s="108" cm="1">
        <f t="array" ref="HM16">IF(HJ16&lt;=$HH$1-1,IF(HK16&lt;&gt;HK15,INDEX($M$6:$GP$190,1,HL16+1),INDEX($M$6:$GP$190,MIN(HL16,HL15)+1,MAX(HL16,HL15)+1))+IF(HK16&lt;&gt;HK17,INDEX($M$6:$GP$190,1,HL16+1),0),"")</f>
        <v>3.58</v>
      </c>
      <c r="HN16" s="396" t="str">
        <f ca="1">IF(ISNUMBER(HL16),'Vehicle site info'!AK19,"")</f>
        <v>9:39 AM, 9:00 AM, 1</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113.01,33.75,0,0</v>
      </c>
      <c r="HZ16" s="75">
        <f t="shared" si="23"/>
        <v>7</v>
      </c>
      <c r="IA16" s="75">
        <f t="shared" si="24"/>
        <v>13</v>
      </c>
      <c r="IB16" s="387">
        <f t="shared" si="25"/>
        <v>113.01</v>
      </c>
      <c r="IC16" s="143">
        <f t="shared" si="26"/>
        <v>0</v>
      </c>
      <c r="ID16" s="75">
        <f t="shared" si="43"/>
        <v>0</v>
      </c>
      <c r="IE16" s="76">
        <f t="shared" si="27"/>
        <v>113.01</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15</v>
      </c>
      <c r="IY16" s="7">
        <f t="shared" si="49"/>
        <v>26</v>
      </c>
      <c r="IZ16" s="223" cm="1">
        <f t="array" ref="IZ16">IF(IW16&lt;=$HH$1-1,
IF(IX16&lt;&gt;IX15,
INDEX($M$6:$GP$190,1,IY16+1),INDEX($M$6:$GP$190,MIN(IY16,IY15)+1,MAX(IY16,IY15)+1))+IF(IX16&lt;&gt;IX17,INDEX($M$6:$GP$190,1,IY16+1),0),"")</f>
        <v>3.58</v>
      </c>
      <c r="JA16" s="7" t="str">
        <f t="shared" ca="1" si="50"/>
        <v>9:39 AM, 9:00 AM, 1</v>
      </c>
      <c r="JE16" s="1"/>
      <c r="JG16" s="1" t="str">
        <f t="shared" si="51"/>
        <v/>
      </c>
      <c r="JN16" s="1"/>
    </row>
    <row r="17" spans="1:274" ht="17" thickBot="1" x14ac:dyDescent="0.25">
      <c r="A17" s="282">
        <f>+Input!D30</f>
        <v>1.25</v>
      </c>
      <c r="B17" s="1">
        <v>12</v>
      </c>
      <c r="C17" s="188">
        <f t="shared" si="4"/>
        <v>1</v>
      </c>
      <c r="D17" s="54">
        <f t="shared" si="5"/>
        <v>12</v>
      </c>
      <c r="E17" s="18">
        <f t="shared" si="6"/>
        <v>1.1599999999999999</v>
      </c>
      <c r="F17" s="1">
        <f t="shared" ca="1" si="7"/>
        <v>1.25</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113.11,33.75,0,0</v>
      </c>
      <c r="HB17" s="107">
        <f t="shared" si="11"/>
        <v>7</v>
      </c>
      <c r="HC17" s="56">
        <f t="shared" si="12"/>
        <v>13</v>
      </c>
      <c r="HD17" s="108">
        <f t="shared" si="0"/>
        <v>113.11</v>
      </c>
      <c r="HE17" s="219">
        <f t="shared" si="13"/>
        <v>0</v>
      </c>
      <c r="HF17" s="55">
        <f t="shared" si="14"/>
        <v>0</v>
      </c>
      <c r="HG17" s="108" t="str">
        <f t="shared" si="15"/>
        <v>FEAS.</v>
      </c>
      <c r="HH17" s="85">
        <f t="shared" si="16"/>
        <v>0</v>
      </c>
      <c r="HI17" s="106">
        <f t="shared" si="17"/>
        <v>34</v>
      </c>
      <c r="HJ17" s="29">
        <v>12</v>
      </c>
      <c r="HK17" s="85">
        <f t="shared" si="18"/>
        <v>1</v>
      </c>
      <c r="HL17" s="395">
        <f t="shared" si="40"/>
        <v>12</v>
      </c>
      <c r="HM17" s="108" cm="1">
        <f t="array" ref="HM17">IF(HJ17&lt;=$HH$1-1,IF(HK17&lt;&gt;HK16,INDEX($M$6:$GP$190,1,HL17+1),INDEX($M$6:$GP$190,MIN(HL17,HL16)+1,MAX(HL17,HL16)+1))+IF(HK17&lt;&gt;HK18,INDEX($M$6:$GP$190,1,HL17+1),0),"")</f>
        <v>1.1599999999999999</v>
      </c>
      <c r="HN17" s="396" t="str">
        <f ca="1">IF(ISNUMBER(HL17),'Vehicle site info'!AK20,"")</f>
        <v>9:42 AM, 8:30 AM, 1</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111.26,33.75,0,0</v>
      </c>
      <c r="HZ17" s="75">
        <f t="shared" si="23"/>
        <v>7</v>
      </c>
      <c r="IA17" s="75">
        <f t="shared" si="24"/>
        <v>13</v>
      </c>
      <c r="IB17" s="387">
        <f t="shared" si="25"/>
        <v>111.26</v>
      </c>
      <c r="IC17" s="143">
        <f t="shared" si="26"/>
        <v>0</v>
      </c>
      <c r="ID17" s="75">
        <f t="shared" si="43"/>
        <v>0</v>
      </c>
      <c r="IE17" s="76">
        <f t="shared" si="27"/>
        <v>111.26</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f t="shared" si="52"/>
        <v>15</v>
      </c>
      <c r="IY17" s="7">
        <f t="shared" si="49"/>
        <v>12</v>
      </c>
      <c r="IZ17" s="223" cm="1">
        <f t="array" ref="IZ17">IF(IW17&lt;=$HH$1-1,
IF(IX17&lt;&gt;IX16,
INDEX($M$6:$GP$190,1,IY17+1),INDEX($M$6:$GP$190,MIN(IY17,IY16)+1,MAX(IY17,IY16)+1))+IF(IX17&lt;&gt;IX18,INDEX($M$6:$GP$190,1,IY17+1),0),"")</f>
        <v>1.1599999999999999</v>
      </c>
      <c r="JA17" s="7" t="str">
        <f t="shared" ca="1" si="50"/>
        <v>9:42 AM, 8:30 AM, 1</v>
      </c>
      <c r="JE17" s="1" t="str">
        <f t="shared" ref="JE17:JE20" si="53">IF(JC17&gt;0,SUMIF($IX$6:$IX$190,JB17,$JA$6:$JA$190),"")</f>
        <v/>
      </c>
      <c r="JG17" s="1" t="str">
        <f t="shared" si="51"/>
        <v/>
      </c>
      <c r="JN17" s="1"/>
    </row>
    <row r="18" spans="1:274" ht="31" customHeight="1" thickBot="1" x14ac:dyDescent="0.25">
      <c r="A18" s="282">
        <f>+Input!D31</f>
        <v>1.25</v>
      </c>
      <c r="B18" s="1">
        <v>13</v>
      </c>
      <c r="C18" s="188">
        <f t="shared" si="4"/>
        <v>1</v>
      </c>
      <c r="D18" s="54">
        <f t="shared" si="5"/>
        <v>4</v>
      </c>
      <c r="E18" s="18">
        <f t="shared" si="6"/>
        <v>2.11</v>
      </c>
      <c r="F18" s="1">
        <f t="shared" ca="1" si="7"/>
        <v>1.25</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107.16,33.75,0,0</v>
      </c>
      <c r="HB18" s="107">
        <f t="shared" si="11"/>
        <v>7</v>
      </c>
      <c r="HC18" s="56">
        <f t="shared" si="12"/>
        <v>13</v>
      </c>
      <c r="HD18" s="108">
        <f t="shared" si="0"/>
        <v>107.16</v>
      </c>
      <c r="HE18" s="219">
        <f t="shared" si="13"/>
        <v>0</v>
      </c>
      <c r="HF18" s="55">
        <f t="shared" si="14"/>
        <v>0</v>
      </c>
      <c r="HG18" s="108" t="str">
        <f t="shared" si="15"/>
        <v>FEAS.</v>
      </c>
      <c r="HH18" s="85">
        <f t="shared" si="16"/>
        <v>0</v>
      </c>
      <c r="HI18" s="106">
        <f t="shared" si="17"/>
        <v>36</v>
      </c>
      <c r="HJ18" s="29">
        <v>13</v>
      </c>
      <c r="HK18" s="85">
        <f t="shared" si="18"/>
        <v>1</v>
      </c>
      <c r="HL18" s="85">
        <f t="shared" si="40"/>
        <v>4</v>
      </c>
      <c r="HM18" s="108" cm="1">
        <f t="array" ref="HM18">IF(HJ18&lt;=$HH$1-1,IF(HK18&lt;&gt;HK17,INDEX($M$6:$GP$190,1,HL18+1),INDEX($M$6:$GP$190,MIN(HL18,HL17)+1,MAX(HL18,HL17)+1))+IF(HK18&lt;&gt;HK19,INDEX($M$6:$GP$190,1,HL18+1),0),"")</f>
        <v>2.11</v>
      </c>
      <c r="HN18" s="396" t="str">
        <f ca="1">IF(ISNUMBER(HL18),'Vehicle site info'!AK21,"")</f>
        <v>9:47 AM, 12:01 AM, 1</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109.1,33.75,0,0</v>
      </c>
      <c r="HZ18" s="75">
        <f t="shared" si="23"/>
        <v>6</v>
      </c>
      <c r="IA18" s="75">
        <f t="shared" si="24"/>
        <v>12</v>
      </c>
      <c r="IB18" s="387">
        <f t="shared" si="25"/>
        <v>109.1</v>
      </c>
      <c r="IC18" s="143">
        <f t="shared" si="26"/>
        <v>0</v>
      </c>
      <c r="ID18" s="75">
        <f t="shared" si="43"/>
        <v>0</v>
      </c>
      <c r="IE18" s="76">
        <f t="shared" si="27"/>
        <v>109.1</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f t="shared" si="52"/>
        <v>15</v>
      </c>
      <c r="IY18" s="7">
        <f t="shared" si="49"/>
        <v>4</v>
      </c>
      <c r="IZ18" s="223" cm="1">
        <f t="array" ref="IZ18">IF(IW18&lt;=$HH$1-1,
IF(IX18&lt;&gt;IX17,
INDEX($M$6:$GP$190,1,IY18+1),INDEX($M$6:$GP$190,MIN(IY18,IY17)+1,MAX(IY18,IY17)+1))+IF(IX18&lt;&gt;IX19,INDEX($M$6:$GP$190,1,IY18+1),0),"")</f>
        <v>2.11</v>
      </c>
      <c r="JA18" s="7" t="str">
        <f t="shared" ca="1" si="50"/>
        <v>9:47 AM, 12:01 AM, 1</v>
      </c>
      <c r="JE18" s="1" t="str">
        <f t="shared" si="53"/>
        <v/>
      </c>
      <c r="JG18" s="1" t="str">
        <f t="shared" si="51"/>
        <v/>
      </c>
      <c r="JN18" s="1"/>
    </row>
    <row r="19" spans="1:274" ht="17" customHeight="1" thickBot="1" x14ac:dyDescent="0.25">
      <c r="A19" s="282">
        <f>+Input!D32</f>
        <v>1.25</v>
      </c>
      <c r="B19" s="1">
        <v>14</v>
      </c>
      <c r="C19" s="188">
        <f t="shared" si="4"/>
        <v>1</v>
      </c>
      <c r="D19" s="54">
        <f t="shared" si="5"/>
        <v>27</v>
      </c>
      <c r="E19" s="18">
        <f t="shared" si="6"/>
        <v>2.0099999999999998</v>
      </c>
      <c r="F19" s="1">
        <f t="shared" ca="1" si="7"/>
        <v>1.25</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103.84,33.75,0,0</v>
      </c>
      <c r="HB19" s="107">
        <f t="shared" si="11"/>
        <v>7</v>
      </c>
      <c r="HC19" s="56">
        <f t="shared" si="12"/>
        <v>13</v>
      </c>
      <c r="HD19" s="108">
        <f t="shared" si="0"/>
        <v>103.84</v>
      </c>
      <c r="HE19" s="219">
        <f t="shared" si="13"/>
        <v>0</v>
      </c>
      <c r="HF19" s="55">
        <f t="shared" si="14"/>
        <v>0</v>
      </c>
      <c r="HG19" s="108" t="str">
        <f t="shared" si="15"/>
        <v>FEAS.</v>
      </c>
      <c r="HH19" s="85">
        <f t="shared" si="16"/>
        <v>0</v>
      </c>
      <c r="HI19" s="106">
        <f t="shared" si="17"/>
        <v>39</v>
      </c>
      <c r="HJ19" s="29">
        <v>14</v>
      </c>
      <c r="HK19" s="85">
        <f t="shared" si="18"/>
        <v>1</v>
      </c>
      <c r="HL19" s="395">
        <f t="shared" si="40"/>
        <v>27</v>
      </c>
      <c r="HM19" s="108" cm="1">
        <f t="array" ref="HM19">IF(HJ19&lt;=$HH$1-1,IF(HK19&lt;&gt;HK18,INDEX($M$6:$GP$190,1,HL19+1),INDEX($M$6:$GP$190,MIN(HL19,HL18)+1,MAX(HL19,HL18)+1))+IF(HK19&lt;&gt;HK20,INDEX($M$6:$GP$190,1,HL19+1),0),"")</f>
        <v>2.0099999999999998</v>
      </c>
      <c r="HN19" s="396" t="str">
        <f ca="1">IF(ISNUMBER(HL19),'Vehicle site info'!AK22,"")</f>
        <v>9:52 AM, 8:00 AM, 1</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121.78,33.75,0,0</v>
      </c>
      <c r="HZ19" s="75">
        <f t="shared" si="23"/>
        <v>7</v>
      </c>
      <c r="IA19" s="75">
        <f t="shared" si="24"/>
        <v>13</v>
      </c>
      <c r="IB19" s="387">
        <f t="shared" si="25"/>
        <v>121.78</v>
      </c>
      <c r="IC19" s="143">
        <f t="shared" si="26"/>
        <v>0</v>
      </c>
      <c r="ID19" s="75">
        <f t="shared" si="43"/>
        <v>0</v>
      </c>
      <c r="IE19" s="76">
        <f t="shared" si="27"/>
        <v>121.78</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f t="shared" si="52"/>
        <v>15</v>
      </c>
      <c r="IY19" s="7">
        <f t="shared" si="49"/>
        <v>27</v>
      </c>
      <c r="IZ19" s="223" cm="1">
        <f t="array" ref="IZ19">IF(IW19&lt;=$HH$1-1,
IF(IX19&lt;&gt;IX18,
INDEX($M$6:$GP$190,1,IY19+1),INDEX($M$6:$GP$190,MIN(IY19,IY18)+1,MAX(IY19,IY18)+1))+IF(IX19&lt;&gt;IX20,INDEX($M$6:$GP$190,1,IY19+1),0),"")</f>
        <v>2.0099999999999998</v>
      </c>
      <c r="JA19" s="7" t="str">
        <f t="shared" ca="1" si="50"/>
        <v>9:52 AM, 8:00 AM, 1</v>
      </c>
      <c r="JE19" s="1" t="str">
        <f t="shared" si="53"/>
        <v/>
      </c>
      <c r="JG19" s="1" t="str">
        <f t="shared" si="51"/>
        <v/>
      </c>
      <c r="JN19" s="1" t="str">
        <f t="shared" ref="JN19:JN20" si="54">+HQ19</f>
        <v/>
      </c>
    </row>
    <row r="20" spans="1:274" ht="17" thickBot="1" x14ac:dyDescent="0.25">
      <c r="A20" s="282">
        <f>+Input!D33</f>
        <v>1.25</v>
      </c>
      <c r="B20" s="1">
        <v>15</v>
      </c>
      <c r="C20" s="188">
        <f t="shared" si="4"/>
        <v>1</v>
      </c>
      <c r="D20" s="54">
        <f t="shared" si="5"/>
        <v>19</v>
      </c>
      <c r="E20" s="18">
        <f t="shared" si="6"/>
        <v>0.79</v>
      </c>
      <c r="F20" s="1">
        <f t="shared" ca="1" si="7"/>
        <v>1.25</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102.66,33.75,0,0</v>
      </c>
      <c r="HB20" s="107">
        <f t="shared" si="11"/>
        <v>7</v>
      </c>
      <c r="HC20" s="56">
        <f t="shared" si="12"/>
        <v>13</v>
      </c>
      <c r="HD20" s="108">
        <f t="shared" si="0"/>
        <v>102.66</v>
      </c>
      <c r="HE20" s="219">
        <f t="shared" si="13"/>
        <v>0</v>
      </c>
      <c r="HF20" s="55">
        <f t="shared" si="14"/>
        <v>0</v>
      </c>
      <c r="HG20" s="108" t="str">
        <f t="shared" si="15"/>
        <v>FEAS.</v>
      </c>
      <c r="HH20" s="85">
        <f t="shared" si="16"/>
        <v>0</v>
      </c>
      <c r="HI20" s="106">
        <f t="shared" si="17"/>
        <v>42</v>
      </c>
      <c r="HJ20" s="29">
        <v>15</v>
      </c>
      <c r="HK20" s="85">
        <f t="shared" si="18"/>
        <v>1</v>
      </c>
      <c r="HL20" s="85">
        <f t="shared" si="40"/>
        <v>19</v>
      </c>
      <c r="HM20" s="108" cm="1">
        <f t="array" ref="HM20">IF(HJ20&lt;=$HH$1-1,IF(HK20&lt;&gt;HK19,INDEX($M$6:$GP$190,1,HL20+1),INDEX($M$6:$GP$190,MIN(HL20,HL19)+1,MAX(HL20,HL19)+1))+IF(HK20&lt;&gt;HK21,INDEX($M$6:$GP$190,1,HL20+1),0),"")</f>
        <v>0.79</v>
      </c>
      <c r="HN20" s="396" t="str">
        <f ca="1">IF(ISNUMBER(HL20),'Vehicle site info'!AK23,"")</f>
        <v>9:54 AM, 7:30 AM, 1</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115.14,33.75,0,0</v>
      </c>
      <c r="HZ20" s="75">
        <f t="shared" si="23"/>
        <v>7</v>
      </c>
      <c r="IA20" s="75">
        <f t="shared" si="24"/>
        <v>13</v>
      </c>
      <c r="IB20" s="387">
        <f t="shared" si="25"/>
        <v>115.14</v>
      </c>
      <c r="IC20" s="143">
        <f t="shared" si="26"/>
        <v>0</v>
      </c>
      <c r="ID20" s="75">
        <f t="shared" si="43"/>
        <v>0</v>
      </c>
      <c r="IE20" s="76">
        <f t="shared" si="27"/>
        <v>115.14</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f t="shared" si="52"/>
        <v>15</v>
      </c>
      <c r="IY20" s="7">
        <f t="shared" si="49"/>
        <v>19</v>
      </c>
      <c r="IZ20" s="223" cm="1">
        <f t="array" ref="IZ20">IF(IW20&lt;=$HH$1-1,
IF(IX20&lt;&gt;IX19,
INDEX($M$6:$GP$190,1,IY20+1),INDEX($M$6:$GP$190,MIN(IY20,IY19)+1,MAX(IY20,IY19)+1))+IF(IX20&lt;&gt;IX21,INDEX($M$6:$GP$190,1,IY20+1),0),"")</f>
        <v>0.79</v>
      </c>
      <c r="JA20" s="7" t="str">
        <f t="shared" ca="1" si="50"/>
        <v>9:54 AM, 7:30 AM, 1</v>
      </c>
      <c r="JE20" s="1" t="str">
        <f t="shared" si="53"/>
        <v/>
      </c>
      <c r="JG20" s="1" t="str">
        <f t="shared" si="51"/>
        <v/>
      </c>
      <c r="JN20" s="1" t="str">
        <f t="shared" si="54"/>
        <v/>
      </c>
    </row>
    <row r="21" spans="1:274" ht="63" customHeight="1" thickBot="1" x14ac:dyDescent="0.25">
      <c r="A21" s="282">
        <f>+Input!D34</f>
        <v>1.25</v>
      </c>
      <c r="B21" s="1">
        <v>16</v>
      </c>
      <c r="C21" s="188">
        <f t="shared" si="4"/>
        <v>1</v>
      </c>
      <c r="D21" s="54">
        <f t="shared" si="5"/>
        <v>2</v>
      </c>
      <c r="E21" s="18">
        <f t="shared" si="6"/>
        <v>0.67</v>
      </c>
      <c r="F21" s="1">
        <f t="shared" ca="1" si="7"/>
        <v>1.25</v>
      </c>
      <c r="G21" s="1"/>
      <c r="H21" s="194"/>
      <c r="I21" s="191">
        <f>SUM(I6:I19)</f>
        <v>33.350000000000009</v>
      </c>
      <c r="J21" s="191">
        <f ca="1">SUM(J6:J19)</f>
        <v>33.75</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102.18,33.75,0,0</v>
      </c>
      <c r="HB21" s="107">
        <f t="shared" si="11"/>
        <v>7</v>
      </c>
      <c r="HC21" s="56">
        <f t="shared" si="12"/>
        <v>13</v>
      </c>
      <c r="HD21" s="108">
        <f t="shared" si="0"/>
        <v>102.18</v>
      </c>
      <c r="HE21" s="219">
        <f t="shared" si="13"/>
        <v>0</v>
      </c>
      <c r="HF21" s="55">
        <f t="shared" si="14"/>
        <v>0</v>
      </c>
      <c r="HG21" s="108" t="str">
        <f t="shared" si="15"/>
        <v>FEAS.</v>
      </c>
      <c r="HH21" s="85">
        <f t="shared" si="16"/>
        <v>0</v>
      </c>
      <c r="HI21" s="106">
        <f t="shared" si="17"/>
        <v>44</v>
      </c>
      <c r="HJ21" s="29">
        <v>16</v>
      </c>
      <c r="HK21" s="85">
        <f t="shared" si="18"/>
        <v>1</v>
      </c>
      <c r="HL21" s="395">
        <f t="shared" si="40"/>
        <v>2</v>
      </c>
      <c r="HM21" s="108" cm="1">
        <f t="array" ref="HM21">IF(HJ21&lt;=$HH$1-1,IF(HK21&lt;&gt;HK20,INDEX($M$6:$GP$190,1,HL21+1),INDEX($M$6:$GP$190,MIN(HL21,HL20)+1,MAX(HL21,HL20)+1))+IF(HK21&lt;&gt;HK22,INDEX($M$6:$GP$190,1,HL21+1),0),"")</f>
        <v>0.67</v>
      </c>
      <c r="HN21" s="396" t="str">
        <f ca="1">IF(ISNUMBER(HL21),'Vehicle site info'!AK24,"")</f>
        <v>9:55 AM, 9:30 AM, 1</v>
      </c>
      <c r="HO21" s="127">
        <f>SUM(HM6:HM12)</f>
        <v>6.5399999999999991</v>
      </c>
      <c r="HP21" s="125">
        <f>SUM(HP6:HP20)</f>
        <v>27</v>
      </c>
      <c r="HQ21" s="412">
        <f>SUM(HQ6:HQ20)</f>
        <v>33.350000000000009</v>
      </c>
      <c r="HR21" s="125" t="str">
        <f ca="1">SUM(HR6:HR20)&amp;" "&amp;SUM(A6:A190)</f>
        <v>33.75 40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154.51,33.75,0,0</v>
      </c>
      <c r="HZ21" s="75">
        <f t="shared" si="23"/>
        <v>7</v>
      </c>
      <c r="IA21" s="75">
        <f t="shared" si="24"/>
        <v>13</v>
      </c>
      <c r="IB21" s="387">
        <f t="shared" si="25"/>
        <v>154.51</v>
      </c>
      <c r="IC21" s="143">
        <f t="shared" si="26"/>
        <v>0</v>
      </c>
      <c r="ID21" s="75">
        <f t="shared" si="43"/>
        <v>0</v>
      </c>
      <c r="IE21" s="76">
        <f t="shared" si="27"/>
        <v>154.51</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f t="shared" si="52"/>
        <v>15</v>
      </c>
      <c r="IY21" s="7">
        <f t="shared" si="49"/>
        <v>2</v>
      </c>
      <c r="IZ21" s="223" cm="1">
        <f t="array" ref="IZ21">IF(IW21&lt;=$HH$1-1,
IF(IX21&lt;&gt;IX20,
INDEX($M$6:$GP$190,1,IY21+1),INDEX($M$6:$GP$190,MIN(IY21,IY20)+1,MAX(IY21,IY20)+1))+IF(IX21&lt;&gt;IX22,INDEX($M$6:$GP$190,1,IY21+1),0),"")</f>
        <v>0.67</v>
      </c>
      <c r="JA21" s="7" t="str">
        <f t="shared" ca="1" si="50"/>
        <v>9:55 AM, 9:30 AM, 1</v>
      </c>
    </row>
    <row r="22" spans="1:274" ht="17" thickBot="1" x14ac:dyDescent="0.25">
      <c r="A22" s="282">
        <f>+Input!D35</f>
        <v>1.25</v>
      </c>
      <c r="B22" s="1">
        <v>17</v>
      </c>
      <c r="C22" s="188">
        <f t="shared" si="4"/>
        <v>1</v>
      </c>
      <c r="D22" s="54">
        <f t="shared" si="5"/>
        <v>3</v>
      </c>
      <c r="E22" s="18">
        <f t="shared" si="6"/>
        <v>1.19</v>
      </c>
      <c r="F22" s="1">
        <f t="shared" ca="1" si="7"/>
        <v>1.25</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109.31,33.75,0,0</v>
      </c>
      <c r="HB22" s="56">
        <f t="shared" si="11"/>
        <v>7</v>
      </c>
      <c r="HC22" s="56">
        <f t="shared" si="12"/>
        <v>13</v>
      </c>
      <c r="HD22" s="108">
        <f t="shared" si="0"/>
        <v>109.31</v>
      </c>
      <c r="HE22" s="219">
        <f t="shared" si="13"/>
        <v>0</v>
      </c>
      <c r="HF22" s="55">
        <f t="shared" si="14"/>
        <v>0</v>
      </c>
      <c r="HG22" s="108" t="str">
        <f t="shared" si="15"/>
        <v>FEAS.</v>
      </c>
      <c r="HH22" s="85">
        <f t="shared" si="16"/>
        <v>0</v>
      </c>
      <c r="HI22" s="106">
        <f t="shared" si="17"/>
        <v>46</v>
      </c>
      <c r="HJ22" s="29">
        <v>17</v>
      </c>
      <c r="HK22" s="85">
        <f t="shared" si="18"/>
        <v>1</v>
      </c>
      <c r="HL22" s="85">
        <f t="shared" si="40"/>
        <v>3</v>
      </c>
      <c r="HM22" s="108" cm="1">
        <f t="array" ref="HM22">IF(HJ22&lt;=$HH$1-1,IF(HK22&lt;&gt;HK21,INDEX($M$6:$GP$190,1,HL22+1),INDEX($M$6:$GP$190,MIN(HL22,HL21)+1,MAX(HL22,HL21)+1))+IF(HK22&lt;&gt;HK23,INDEX($M$6:$GP$190,1,HL22+1),0),"")</f>
        <v>1.19</v>
      </c>
      <c r="HN22" s="396" t="str">
        <f ca="1">IF(ISNUMBER(HL22),'Vehicle site info'!AK25,"")</f>
        <v>9:58 AM, 10:00 AM, 0</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141.89,33.75,0,0</v>
      </c>
      <c r="HZ22" s="75">
        <f t="shared" si="23"/>
        <v>7</v>
      </c>
      <c r="IA22" s="75">
        <f t="shared" si="24"/>
        <v>13</v>
      </c>
      <c r="IB22" s="387">
        <f t="shared" si="25"/>
        <v>141.88999999999999</v>
      </c>
      <c r="IC22" s="143">
        <f t="shared" si="26"/>
        <v>0</v>
      </c>
      <c r="ID22" s="75">
        <f t="shared" si="43"/>
        <v>0</v>
      </c>
      <c r="IE22" s="76">
        <f t="shared" si="27"/>
        <v>141.88999999999999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f t="shared" si="52"/>
        <v>15</v>
      </c>
      <c r="IY22" s="7">
        <f t="shared" si="49"/>
        <v>3</v>
      </c>
      <c r="IZ22" s="223" cm="1">
        <f t="array" ref="IZ22">IF(IW22&lt;=$HH$1-1,
IF(IX22&lt;&gt;IX21,
INDEX($M$6:$GP$190,1,IY22+1),INDEX($M$6:$GP$190,MIN(IY22,IY21)+1,MAX(IY22,IY21)+1))+IF(IX22&lt;&gt;IX23,INDEX($M$6:$GP$190,1,IY22+1),0),"")</f>
        <v>1.19</v>
      </c>
      <c r="JA22" s="7" t="str">
        <f t="shared" ca="1" si="50"/>
        <v>9:58 AM, 10:00 AM, 0</v>
      </c>
    </row>
    <row r="23" spans="1:274" ht="17" thickBot="1" x14ac:dyDescent="0.25">
      <c r="A23" s="282">
        <f>+Input!D36</f>
        <v>1.25</v>
      </c>
      <c r="B23" s="1">
        <v>18</v>
      </c>
      <c r="C23" s="188">
        <f t="shared" si="4"/>
        <v>1</v>
      </c>
      <c r="D23" s="54">
        <f t="shared" si="5"/>
        <v>31</v>
      </c>
      <c r="E23" s="18">
        <f t="shared" si="6"/>
        <v>0.45</v>
      </c>
      <c r="F23" s="1">
        <f t="shared" ca="1" si="7"/>
        <v>1.25</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108.25,33.75,0,0</v>
      </c>
      <c r="HB23" s="56">
        <f t="shared" si="11"/>
        <v>7</v>
      </c>
      <c r="HC23" s="56">
        <f t="shared" si="12"/>
        <v>13</v>
      </c>
      <c r="HD23" s="108">
        <f t="shared" si="0"/>
        <v>108.25</v>
      </c>
      <c r="HE23" s="219">
        <f t="shared" si="13"/>
        <v>0</v>
      </c>
      <c r="HF23" s="55">
        <f t="shared" si="14"/>
        <v>0</v>
      </c>
      <c r="HG23" s="108" t="str">
        <f t="shared" si="15"/>
        <v>FEAS.</v>
      </c>
      <c r="HH23" s="85">
        <f t="shared" si="16"/>
        <v>0</v>
      </c>
      <c r="HI23" s="106">
        <f t="shared" si="17"/>
        <v>49</v>
      </c>
      <c r="HJ23" s="29">
        <v>18</v>
      </c>
      <c r="HK23" s="85">
        <f t="shared" si="18"/>
        <v>1</v>
      </c>
      <c r="HL23" s="395">
        <f t="shared" si="40"/>
        <v>31</v>
      </c>
      <c r="HM23" s="108" cm="1">
        <f t="array" ref="HM23">IF(HJ23&lt;=$HH$1-1,IF(HK23&lt;&gt;HK22,INDEX($M$6:$GP$190,1,HL23+1),INDEX($M$6:$GP$190,MIN(HL23,HL22)+1,MAX(HL23,HL22)+1))+IF(HK23&lt;&gt;HK24,INDEX($M$6:$GP$190,1,HL23+1),0),"")</f>
        <v>0.45</v>
      </c>
      <c r="HN23" s="396" t="str">
        <f ca="1">IF(ISNUMBER(HL23),'Vehicle site info'!AK26,"")</f>
        <v>9:59 AM, 6:00 AM, 1</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136.48,33.75,0,0</v>
      </c>
      <c r="HZ23" s="75">
        <f t="shared" si="23"/>
        <v>7</v>
      </c>
      <c r="IA23" s="75">
        <f t="shared" si="24"/>
        <v>13</v>
      </c>
      <c r="IB23" s="387">
        <f t="shared" si="25"/>
        <v>136.47999999999999</v>
      </c>
      <c r="IC23" s="143">
        <f t="shared" si="26"/>
        <v>0</v>
      </c>
      <c r="ID23" s="75">
        <f t="shared" si="43"/>
        <v>0</v>
      </c>
      <c r="IE23" s="76">
        <f t="shared" si="27"/>
        <v>136.47999999999999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f t="shared" si="52"/>
        <v>15</v>
      </c>
      <c r="IY23" s="7">
        <f t="shared" si="49"/>
        <v>31</v>
      </c>
      <c r="IZ23" s="223" cm="1">
        <f t="array" ref="IZ23">IF(IW23&lt;=$HH$1-1,
IF(IX23&lt;&gt;IX22,
INDEX($M$6:$GP$190,1,IY23+1),INDEX($M$6:$GP$190,MIN(IY23,IY22)+1,MAX(IY23,IY22)+1))+IF(IX23&lt;&gt;IX24,INDEX($M$6:$GP$190,1,IY23+1),0),"")</f>
        <v>0.45</v>
      </c>
      <c r="JA23" s="7" t="str">
        <f t="shared" ca="1" si="50"/>
        <v>9:59 AM, 6:00 AM, 1</v>
      </c>
    </row>
    <row r="24" spans="1:274" ht="18" thickBot="1" x14ac:dyDescent="0.25">
      <c r="A24" s="282">
        <f>+Input!D37</f>
        <v>1.25</v>
      </c>
      <c r="B24" s="1">
        <v>19</v>
      </c>
      <c r="C24" s="188">
        <f t="shared" si="4"/>
        <v>1</v>
      </c>
      <c r="D24" s="54">
        <f t="shared" si="5"/>
        <v>13</v>
      </c>
      <c r="E24" s="18">
        <f t="shared" si="6"/>
        <v>0.73</v>
      </c>
      <c r="F24" s="1">
        <f t="shared" ca="1" si="7"/>
        <v>1.25</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107.83,33.75,0,0</v>
      </c>
      <c r="HB24" s="56">
        <f t="shared" si="11"/>
        <v>7</v>
      </c>
      <c r="HC24" s="56">
        <f t="shared" si="12"/>
        <v>13</v>
      </c>
      <c r="HD24" s="108">
        <f t="shared" si="0"/>
        <v>107.83</v>
      </c>
      <c r="HE24" s="219">
        <f t="shared" si="13"/>
        <v>0</v>
      </c>
      <c r="HF24" s="55">
        <f t="shared" si="14"/>
        <v>0</v>
      </c>
      <c r="HG24" s="108" t="str">
        <f t="shared" si="15"/>
        <v>FEAS.</v>
      </c>
      <c r="HH24" s="85">
        <f t="shared" si="16"/>
        <v>0</v>
      </c>
      <c r="HI24" s="106">
        <f t="shared" si="17"/>
        <v>52</v>
      </c>
      <c r="HJ24" s="29">
        <v>19</v>
      </c>
      <c r="HK24" s="85">
        <f t="shared" si="18"/>
        <v>1</v>
      </c>
      <c r="HL24" s="85">
        <f t="shared" si="40"/>
        <v>13</v>
      </c>
      <c r="HM24" s="108" cm="1">
        <f t="array" ref="HM24">IF(HJ24&lt;=$HH$1-1,IF(HK24&lt;&gt;HK23,INDEX($M$6:$GP$190,1,HL24+1),INDEX($M$6:$GP$190,MIN(HL24,HL23)+1,MAX(HL24,HL23)+1))+IF(HK24&lt;&gt;HK25,INDEX($M$6:$GP$190,1,HL24+1),0),"")</f>
        <v>0.73</v>
      </c>
      <c r="HN24" s="396" t="str">
        <f ca="1">IF(ISNUMBER(HL24),'Vehicle site info'!AK27,"")</f>
        <v>10:01 AM, 6:00 AM, 1</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114.94,33.75,0,0</v>
      </c>
      <c r="HZ24" s="75">
        <f t="shared" si="23"/>
        <v>7</v>
      </c>
      <c r="IA24" s="75">
        <f t="shared" si="24"/>
        <v>13</v>
      </c>
      <c r="IB24" s="387">
        <f t="shared" si="25"/>
        <v>114.94</v>
      </c>
      <c r="IC24" s="143">
        <f t="shared" si="26"/>
        <v>0</v>
      </c>
      <c r="ID24" s="75">
        <f t="shared" si="43"/>
        <v>0</v>
      </c>
      <c r="IE24" s="76">
        <f t="shared" si="27"/>
        <v>114.94</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f t="shared" si="52"/>
        <v>15</v>
      </c>
      <c r="IY24" s="7">
        <f t="shared" si="49"/>
        <v>13</v>
      </c>
      <c r="IZ24" s="223" cm="1">
        <f t="array" ref="IZ24">IF(IW24&lt;=$HH$1-1,
IF(IX24&lt;&gt;IX23,
INDEX($M$6:$GP$190,1,IY24+1),INDEX($M$6:$GP$190,MIN(IY24,IY23)+1,MAX(IY24,IY23)+1))+IF(IX24&lt;&gt;IX25,INDEX($M$6:$GP$190,1,IY24+1),0),"")</f>
        <v>0.73</v>
      </c>
      <c r="JA24" s="7" t="str">
        <f t="shared" ca="1" si="50"/>
        <v>10:01 AM, 6:00 AM, 1</v>
      </c>
    </row>
    <row r="25" spans="1:274" ht="17" thickBot="1" x14ac:dyDescent="0.25">
      <c r="A25" s="282">
        <f>+Input!D38</f>
        <v>1.25</v>
      </c>
      <c r="B25" s="1">
        <v>20</v>
      </c>
      <c r="C25" s="188">
        <f t="shared" si="4"/>
        <v>1</v>
      </c>
      <c r="D25" s="54">
        <f t="shared" si="5"/>
        <v>24</v>
      </c>
      <c r="E25" s="18">
        <f t="shared" si="6"/>
        <v>7.0000000000000007E-2</v>
      </c>
      <c r="F25" s="1">
        <f t="shared" ca="1" si="7"/>
        <v>1.25</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107.72,33.75,0,0</v>
      </c>
      <c r="HB25" s="56">
        <f t="shared" si="11"/>
        <v>7</v>
      </c>
      <c r="HC25" s="56">
        <f t="shared" si="12"/>
        <v>13</v>
      </c>
      <c r="HD25" s="55">
        <f t="shared" si="0"/>
        <v>107.72</v>
      </c>
      <c r="HE25" s="219">
        <f t="shared" si="13"/>
        <v>0</v>
      </c>
      <c r="HF25" s="55">
        <f t="shared" si="14"/>
        <v>0</v>
      </c>
      <c r="HG25" s="108" t="str">
        <f t="shared" si="15"/>
        <v>FEAS.</v>
      </c>
      <c r="HH25" s="85">
        <f t="shared" si="16"/>
        <v>0</v>
      </c>
      <c r="HI25" s="106">
        <f t="shared" si="17"/>
        <v>55</v>
      </c>
      <c r="HJ25" s="29">
        <v>20</v>
      </c>
      <c r="HK25" s="85">
        <f t="shared" si="18"/>
        <v>1</v>
      </c>
      <c r="HL25" s="85">
        <f t="shared" si="40"/>
        <v>24</v>
      </c>
      <c r="HM25" s="108" cm="1">
        <f t="array" ref="HM25">IF(HJ25&lt;=$HH$1-1,IF(HK25&lt;&gt;HK24,INDEX($M$6:$GP$190,1,HL25+1),INDEX($M$6:$GP$190,MIN(HL25,HL24)+1,MAX(HL25,HL24)+1))+IF(HK25&lt;&gt;HK26,INDEX($M$6:$GP$190,1,HL25+1),0),"")</f>
        <v>7.0000000000000007E-2</v>
      </c>
      <c r="HN25" s="396" t="str">
        <f ca="1">IF(ISNUMBER(HL25),'Vehicle site info'!AK28,"")</f>
        <v>10:01 AM, 9:00 AM, 1</v>
      </c>
      <c r="HO25" s="93"/>
      <c r="HP25" s="199">
        <v>25</v>
      </c>
      <c r="HQ25" s="200">
        <v>11</v>
      </c>
      <c r="HR25" s="29">
        <f ca="1">OFFSET($L$5,MIN(HP25,HQ25)+1,MAX(HP25,HQ25)+1)</f>
        <v>1.1599999999999999</v>
      </c>
      <c r="HS25" s="5">
        <f ca="1">+(HR25/Input!$D$13)*60</f>
        <v>2.7839999999999998</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109.1,33.75,0,0</v>
      </c>
      <c r="HZ25" s="75">
        <f t="shared" si="23"/>
        <v>6</v>
      </c>
      <c r="IA25" s="75">
        <f t="shared" si="24"/>
        <v>12</v>
      </c>
      <c r="IB25" s="387">
        <f t="shared" si="25"/>
        <v>109.1</v>
      </c>
      <c r="IC25" s="143">
        <f t="shared" si="26"/>
        <v>0</v>
      </c>
      <c r="ID25" s="75">
        <f t="shared" si="43"/>
        <v>0</v>
      </c>
      <c r="IE25" s="76">
        <f t="shared" si="27"/>
        <v>109.1</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f t="shared" si="52"/>
        <v>15</v>
      </c>
      <c r="IY25" s="7">
        <f t="shared" si="49"/>
        <v>24</v>
      </c>
      <c r="IZ25" s="223" cm="1">
        <f t="array" ref="IZ25">IF(IW25&lt;=$HH$1-1,
IF(IX25&lt;&gt;IX24,
INDEX($M$6:$GP$190,1,IY25+1),INDEX($M$6:$GP$190,MIN(IY25,IY24)+1,MAX(IY25,IY24)+1))+IF(IX25&lt;&gt;IX26,INDEX($M$6:$GP$190,1,IY25+1),0),"")</f>
        <v>7.0000000000000007E-2</v>
      </c>
      <c r="JA25" s="7" t="str">
        <f t="shared" ca="1" si="50"/>
        <v>10:01 AM, 9:00 AM, 1</v>
      </c>
    </row>
    <row r="26" spans="1:274" ht="17" thickBot="1" x14ac:dyDescent="0.25">
      <c r="A26" s="282">
        <f>+Input!D39</f>
        <v>1.25</v>
      </c>
      <c r="B26" s="1">
        <v>21</v>
      </c>
      <c r="C26" s="188">
        <f t="shared" si="4"/>
        <v>1</v>
      </c>
      <c r="D26" s="54">
        <f t="shared" si="5"/>
        <v>10</v>
      </c>
      <c r="E26" s="18">
        <f t="shared" si="6"/>
        <v>0.18</v>
      </c>
      <c r="F26" s="1">
        <f t="shared" ca="1" si="7"/>
        <v>1.25</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108.52,33.75,0,0</v>
      </c>
      <c r="HB26" s="56">
        <f t="shared" si="11"/>
        <v>7</v>
      </c>
      <c r="HC26" s="56">
        <f t="shared" si="12"/>
        <v>13</v>
      </c>
      <c r="HD26" s="55">
        <f t="shared" si="0"/>
        <v>108.52</v>
      </c>
      <c r="HE26" s="219">
        <f t="shared" si="13"/>
        <v>0</v>
      </c>
      <c r="HF26" s="55">
        <f t="shared" si="14"/>
        <v>0</v>
      </c>
      <c r="HG26" s="108" t="str">
        <f t="shared" si="15"/>
        <v>FEAS.</v>
      </c>
      <c r="HH26" s="85">
        <f t="shared" si="16"/>
        <v>0</v>
      </c>
      <c r="HI26" s="106">
        <f t="shared" si="17"/>
        <v>58</v>
      </c>
      <c r="HJ26" s="29">
        <v>21</v>
      </c>
      <c r="HK26" s="85">
        <f t="shared" si="18"/>
        <v>1</v>
      </c>
      <c r="HL26" s="85">
        <f t="shared" si="40"/>
        <v>10</v>
      </c>
      <c r="HM26" s="108" cm="1">
        <f t="array" ref="HM26">IF(HJ26&lt;=$HH$1-1,IF(HK26&lt;&gt;HK25,INDEX($M$6:$GP$190,1,HL26+1),INDEX($M$6:$GP$190,MIN(HL26,HL25)+1,MAX(HL26,HL25)+1))+IF(HK26&lt;&gt;HK27,INDEX($M$6:$GP$190,1,HL26+1),0),"")</f>
        <v>0.18</v>
      </c>
      <c r="HN26" s="396" t="str">
        <f ca="1">IF(ISNUMBER(HL26),'Vehicle site info'!AK29,"")</f>
        <v>10:02 AM, 6:00 AM, 1</v>
      </c>
      <c r="HO26" s="92"/>
      <c r="HP26" s="199">
        <v>11</v>
      </c>
      <c r="HQ26" s="200">
        <v>0</v>
      </c>
      <c r="HR26" s="29">
        <f ca="1">OFFSET($L$5,MIN(HP26,HQ26)+1,MAX(HP26,HQ26)+1)</f>
        <v>3.56</v>
      </c>
      <c r="HS26" s="5">
        <f ca="1">+(HR26/Input!$D$13)*60</f>
        <v>8.5440000000000005</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116.06,33.75,0,0</v>
      </c>
      <c r="HZ26" s="75">
        <f t="shared" si="23"/>
        <v>7</v>
      </c>
      <c r="IA26" s="75">
        <f t="shared" si="24"/>
        <v>13</v>
      </c>
      <c r="IB26" s="387">
        <f t="shared" si="25"/>
        <v>116.06</v>
      </c>
      <c r="IC26" s="143">
        <f t="shared" si="26"/>
        <v>0</v>
      </c>
      <c r="ID26" s="75">
        <f t="shared" si="43"/>
        <v>0</v>
      </c>
      <c r="IE26" s="76">
        <f t="shared" si="27"/>
        <v>116.06</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f t="shared" si="52"/>
        <v>15</v>
      </c>
      <c r="IY26" s="7">
        <f t="shared" si="49"/>
        <v>10</v>
      </c>
      <c r="IZ26" s="223" cm="1">
        <f t="array" ref="IZ26">IF(IW26&lt;=$HH$1-1,
IF(IX26&lt;&gt;IX25,
INDEX($M$6:$GP$190,1,IY26+1),INDEX($M$6:$GP$190,MIN(IY26,IY25)+1,MAX(IY26,IY25)+1))+IF(IX26&lt;&gt;IX27,INDEX($M$6:$GP$190,1,IY26+1),0),"")</f>
        <v>0.18</v>
      </c>
      <c r="JA26" s="7" t="str">
        <f t="shared" ca="1" si="50"/>
        <v>10:02 AM, 6:00 AM, 1</v>
      </c>
    </row>
    <row r="27" spans="1:274" ht="17" thickBot="1" x14ac:dyDescent="0.25">
      <c r="A27" s="282">
        <f>+Input!D40</f>
        <v>1.25</v>
      </c>
      <c r="B27" s="1">
        <v>22</v>
      </c>
      <c r="C27" s="188">
        <f t="shared" si="4"/>
        <v>1</v>
      </c>
      <c r="D27" s="54">
        <f t="shared" si="5"/>
        <v>9</v>
      </c>
      <c r="E27" s="18">
        <f t="shared" si="6"/>
        <v>0.05</v>
      </c>
      <c r="F27" s="1">
        <f t="shared" ca="1" si="7"/>
        <v>1.25</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110.94,33.75,0,0</v>
      </c>
      <c r="HB27" s="56">
        <f t="shared" si="11"/>
        <v>7</v>
      </c>
      <c r="HC27" s="56">
        <f t="shared" si="12"/>
        <v>13</v>
      </c>
      <c r="HD27" s="108">
        <f t="shared" si="0"/>
        <v>110.94</v>
      </c>
      <c r="HE27" s="219">
        <f t="shared" si="13"/>
        <v>0</v>
      </c>
      <c r="HF27" s="55">
        <f t="shared" si="14"/>
        <v>0</v>
      </c>
      <c r="HG27" s="108" t="str">
        <f t="shared" si="15"/>
        <v>FEAS.</v>
      </c>
      <c r="HH27" s="85">
        <f t="shared" si="16"/>
        <v>0</v>
      </c>
      <c r="HI27" s="106">
        <f t="shared" si="17"/>
        <v>60</v>
      </c>
      <c r="HJ27" s="29">
        <v>22</v>
      </c>
      <c r="HK27" s="85">
        <f t="shared" si="18"/>
        <v>1</v>
      </c>
      <c r="HL27" s="85">
        <f t="shared" si="40"/>
        <v>9</v>
      </c>
      <c r="HM27" s="108" cm="1">
        <f t="array" ref="HM27">IF(HJ27&lt;=$HH$1-1,IF(HK27&lt;&gt;HK26,INDEX($M$6:$GP$190,1,HL27+1),INDEX($M$6:$GP$190,MIN(HL27,HL26)+1,MAX(HL27,HL26)+1))+IF(HK27&lt;&gt;HK28,INDEX($M$6:$GP$190,1,HL27+1),0),"")</f>
        <v>0.05</v>
      </c>
      <c r="HN27" s="396" t="str">
        <f ca="1">IF(ISNUMBER(HL27),'Vehicle site info'!AK30,"")</f>
        <v>10:02 AM, 9:00 AM, 1</v>
      </c>
      <c r="HO27" s="450"/>
      <c r="HP27" s="40"/>
      <c r="HR27" s="30">
        <f ca="1">SUM(HR25:HR26)</f>
        <v>4.72</v>
      </c>
      <c r="HS27" s="30">
        <f ca="1">SUM(HS25:HS26)</f>
        <v>11.327999999999999</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114.77,33.75,0,0</v>
      </c>
      <c r="HZ27" s="75">
        <f t="shared" si="23"/>
        <v>7</v>
      </c>
      <c r="IA27" s="75">
        <f t="shared" si="24"/>
        <v>13</v>
      </c>
      <c r="IB27" s="387">
        <f t="shared" si="25"/>
        <v>114.77</v>
      </c>
      <c r="IC27" s="143">
        <f t="shared" si="26"/>
        <v>0</v>
      </c>
      <c r="ID27" s="75">
        <f t="shared" si="43"/>
        <v>0</v>
      </c>
      <c r="IE27" s="76">
        <f t="shared" si="27"/>
        <v>114.77</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f t="shared" si="52"/>
        <v>15</v>
      </c>
      <c r="IY27" s="7">
        <f t="shared" si="49"/>
        <v>9</v>
      </c>
      <c r="IZ27" s="223" cm="1">
        <f t="array" ref="IZ27">IF(IW27&lt;=$HH$1-1,
IF(IX27&lt;&gt;IX26,
INDEX($M$6:$GP$190,1,IY27+1),INDEX($M$6:$GP$190,MIN(IY27,IY26)+1,MAX(IY27,IY26)+1))+IF(IX27&lt;&gt;IX28,INDEX($M$6:$GP$190,1,IY27+1),0),"")</f>
        <v>0.05</v>
      </c>
      <c r="JA27" s="7" t="str">
        <f t="shared" ca="1" si="50"/>
        <v>10:02 AM, 9:00 AM, 1</v>
      </c>
    </row>
    <row r="28" spans="1:274" ht="17" thickBot="1" x14ac:dyDescent="0.25">
      <c r="A28" s="282">
        <f>+Input!D41</f>
        <v>1.25</v>
      </c>
      <c r="B28" s="1">
        <v>23</v>
      </c>
      <c r="C28" s="188">
        <f t="shared" si="4"/>
        <v>1</v>
      </c>
      <c r="D28" s="54">
        <f t="shared" si="5"/>
        <v>5</v>
      </c>
      <c r="E28" s="18">
        <f t="shared" si="6"/>
        <v>0.36</v>
      </c>
      <c r="F28" s="1">
        <f t="shared" ca="1" si="7"/>
        <v>1.25</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111.49,33.75,0,0</v>
      </c>
      <c r="HB28" s="56">
        <f t="shared" si="11"/>
        <v>7</v>
      </c>
      <c r="HC28" s="56">
        <f t="shared" si="12"/>
        <v>13</v>
      </c>
      <c r="HD28" s="55">
        <f t="shared" si="0"/>
        <v>111.49</v>
      </c>
      <c r="HE28" s="219">
        <f t="shared" si="13"/>
        <v>0</v>
      </c>
      <c r="HF28" s="55">
        <f t="shared" si="14"/>
        <v>0</v>
      </c>
      <c r="HG28" s="108" t="str">
        <f t="shared" si="15"/>
        <v>FEAS.</v>
      </c>
      <c r="HH28" s="85">
        <f t="shared" si="16"/>
        <v>0</v>
      </c>
      <c r="HI28" s="106">
        <f t="shared" si="17"/>
        <v>62</v>
      </c>
      <c r="HJ28" s="29">
        <v>23</v>
      </c>
      <c r="HK28" s="85">
        <f t="shared" si="18"/>
        <v>1</v>
      </c>
      <c r="HL28" s="85">
        <f t="shared" si="40"/>
        <v>5</v>
      </c>
      <c r="HM28" s="108" cm="1">
        <f t="array" ref="HM28">IF(HJ28&lt;=$HH$1-1,IF(HK28&lt;&gt;HK27,INDEX($M$6:$GP$190,1,HL28+1),INDEX($M$6:$GP$190,MIN(HL28,HL27)+1,MAX(HL28,HL27)+1))+IF(HK28&lt;&gt;HK29,INDEX($M$6:$GP$190,1,HL28+1),0),"")</f>
        <v>0.36</v>
      </c>
      <c r="HN28" s="396" t="str">
        <f ca="1">IF(ISNUMBER(HL28),'Vehicle site info'!AK31,"")</f>
        <v>10:03 AM, 10:00 AM, 1</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120.63,33.75,0,0</v>
      </c>
      <c r="HZ28" s="75">
        <f t="shared" si="23"/>
        <v>7</v>
      </c>
      <c r="IA28" s="75">
        <f t="shared" si="24"/>
        <v>13</v>
      </c>
      <c r="IB28" s="387">
        <f t="shared" si="25"/>
        <v>120.63</v>
      </c>
      <c r="IC28" s="143">
        <f t="shared" si="26"/>
        <v>0</v>
      </c>
      <c r="ID28" s="75">
        <f t="shared" si="43"/>
        <v>0</v>
      </c>
      <c r="IE28" s="76">
        <f t="shared" si="27"/>
        <v>120.63</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f t="shared" si="52"/>
        <v>15</v>
      </c>
      <c r="IY28" s="7">
        <f t="shared" si="49"/>
        <v>5</v>
      </c>
      <c r="IZ28" s="223" cm="1">
        <f t="array" ref="IZ28">IF(IW28&lt;=$HH$1-1,
IF(IX28&lt;&gt;IX27,
INDEX($M$6:$GP$190,1,IY28+1),INDEX($M$6:$GP$190,MIN(IY28,IY27)+1,MAX(IY28,IY27)+1))+IF(IX28&lt;&gt;IX29,INDEX($M$6:$GP$190,1,IY28+1),0),"")</f>
        <v>0.36</v>
      </c>
      <c r="JA28" s="7" t="str">
        <f t="shared" ca="1" si="50"/>
        <v>10:03 AM, 10:00 AM, 1</v>
      </c>
    </row>
    <row r="29" spans="1:274" ht="17" thickBot="1" x14ac:dyDescent="0.25">
      <c r="A29" s="282">
        <f>+Input!D42</f>
        <v>1.25</v>
      </c>
      <c r="B29" s="1">
        <v>24</v>
      </c>
      <c r="C29" s="188">
        <f t="shared" si="4"/>
        <v>1</v>
      </c>
      <c r="D29" s="54">
        <f t="shared" si="5"/>
        <v>8</v>
      </c>
      <c r="E29" s="18">
        <f t="shared" si="6"/>
        <v>0.28000000000000003</v>
      </c>
      <c r="F29" s="1">
        <f t="shared" ca="1" si="7"/>
        <v>1.25</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112.7,33.75,0,0</v>
      </c>
      <c r="HB29" s="56">
        <f t="shared" si="11"/>
        <v>6</v>
      </c>
      <c r="HC29" s="56">
        <f t="shared" si="12"/>
        <v>12</v>
      </c>
      <c r="HD29" s="55">
        <f t="shared" si="0"/>
        <v>112.7</v>
      </c>
      <c r="HE29" s="219">
        <f t="shared" si="13"/>
        <v>0</v>
      </c>
      <c r="HF29" s="55">
        <f t="shared" si="14"/>
        <v>0</v>
      </c>
      <c r="HG29" s="108" t="str">
        <f t="shared" si="15"/>
        <v>FEAS.</v>
      </c>
      <c r="HH29" s="85">
        <f t="shared" si="16"/>
        <v>0</v>
      </c>
      <c r="HI29" s="106">
        <f t="shared" si="17"/>
        <v>64</v>
      </c>
      <c r="HJ29" s="29">
        <v>24</v>
      </c>
      <c r="HK29" s="85">
        <f t="shared" si="18"/>
        <v>1</v>
      </c>
      <c r="HL29" s="85">
        <f t="shared" si="40"/>
        <v>8</v>
      </c>
      <c r="HM29" s="108" cm="1">
        <f t="array" ref="HM29">IF(HJ29&lt;=$HH$1-1,IF(HK29&lt;&gt;HK28,INDEX($M$6:$GP$190,1,HL29+1),INDEX($M$6:$GP$190,MIN(HL29,HL28)+1,MAX(HL29,HL28)+1))+IF(HK29&lt;&gt;HK30,INDEX($M$6:$GP$190,1,HL29+1),0),"")</f>
        <v>0.28000000000000003</v>
      </c>
      <c r="HN29" s="396" t="str">
        <f ca="1">IF(ISNUMBER(HL29),'Vehicle site info'!AK32,"")</f>
        <v>10:03 AM, 7:00 AM, 1</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123.79,33.75,0,0</v>
      </c>
      <c r="HZ29" s="75">
        <f t="shared" si="23"/>
        <v>7</v>
      </c>
      <c r="IA29" s="75">
        <f t="shared" si="24"/>
        <v>13</v>
      </c>
      <c r="IB29" s="387">
        <f t="shared" si="25"/>
        <v>123.79</v>
      </c>
      <c r="IC29" s="143">
        <f t="shared" si="26"/>
        <v>0</v>
      </c>
      <c r="ID29" s="75">
        <f>_xlfn.NUMBERVALUE(IF(AND(HU29&lt;&gt;$HV$3,HU29&lt;=$HP$4),MID(TRIM(HY29),IA29+1,FIND("*",SUBSTITUTE(HY29,",","*",3))-IA29),99999))</f>
        <v>0</v>
      </c>
      <c r="IE29" s="76">
        <f t="shared" si="27"/>
        <v>123.79</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f t="shared" si="52"/>
        <v>15</v>
      </c>
      <c r="IY29" s="7">
        <f t="shared" si="49"/>
        <v>8</v>
      </c>
      <c r="IZ29" s="223" cm="1">
        <f t="array" ref="IZ29">IF(IW29&lt;=$HH$1-1,
IF(IX29&lt;&gt;IX28,
INDEX($M$6:$GP$190,1,IY29+1),INDEX($M$6:$GP$190,MIN(IY29,IY28)+1,MAX(IY29,IY28)+1))+IF(IX29&lt;&gt;IX30,INDEX($M$6:$GP$190,1,IY29+1),0),"")</f>
        <v>0.28000000000000003</v>
      </c>
      <c r="JA29" s="7" t="str">
        <f t="shared" ca="1" si="50"/>
        <v>10:03 AM, 7:00 AM, 1</v>
      </c>
    </row>
    <row r="30" spans="1:274" ht="17" thickBot="1" x14ac:dyDescent="0.25">
      <c r="A30" s="282">
        <f>+Input!D43</f>
        <v>1.25</v>
      </c>
      <c r="B30" s="1">
        <v>25</v>
      </c>
      <c r="C30" s="188">
        <f t="shared" si="4"/>
        <v>1</v>
      </c>
      <c r="D30" s="54">
        <f t="shared" si="5"/>
        <v>25</v>
      </c>
      <c r="E30" s="18">
        <f t="shared" si="6"/>
        <v>0.19</v>
      </c>
      <c r="F30" s="1">
        <f t="shared" ca="1" si="7"/>
        <v>1.25</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112.77,33.75,0,0</v>
      </c>
      <c r="HB30" s="56">
        <f t="shared" si="11"/>
        <v>7</v>
      </c>
      <c r="HC30" s="56">
        <f t="shared" si="12"/>
        <v>13</v>
      </c>
      <c r="HD30" s="55">
        <f t="shared" si="0"/>
        <v>112.77</v>
      </c>
      <c r="HE30" s="219">
        <f t="shared" si="13"/>
        <v>0</v>
      </c>
      <c r="HF30" s="55">
        <f t="shared" si="14"/>
        <v>0</v>
      </c>
      <c r="HG30" s="108" t="str">
        <f t="shared" si="15"/>
        <v>FEAS.</v>
      </c>
      <c r="HH30" s="85">
        <f t="shared" si="16"/>
        <v>0</v>
      </c>
      <c r="HI30" s="106">
        <f t="shared" si="17"/>
        <v>67</v>
      </c>
      <c r="HJ30" s="29">
        <v>25</v>
      </c>
      <c r="HK30" s="85">
        <f t="shared" si="18"/>
        <v>1</v>
      </c>
      <c r="HL30" s="85">
        <f t="shared" si="40"/>
        <v>25</v>
      </c>
      <c r="HM30" s="108" cm="1">
        <f t="array" ref="HM30">IF(HJ30&lt;=$HH$1-1,IF(HK30&lt;&gt;HK29,INDEX($M$6:$GP$190,1,HL30+1),INDEX($M$6:$GP$190,MIN(HL30,HL29)+1,MAX(HL30,HL29)+1))+IF(HK30&lt;&gt;HK31,INDEX($M$6:$GP$190,1,HL30+1),0),"")</f>
        <v>0.19</v>
      </c>
      <c r="HN30" s="396" t="str">
        <f ca="1">IF(ISNUMBER(HL30),'Vehicle site info'!AK33,"")</f>
        <v>10:04 AM, 8:00 AM, 1</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114.16,33.75,0,0</v>
      </c>
      <c r="HZ30" s="75">
        <f t="shared" si="23"/>
        <v>7</v>
      </c>
      <c r="IA30" s="75">
        <f t="shared" si="24"/>
        <v>13</v>
      </c>
      <c r="IB30" s="387">
        <f t="shared" si="25"/>
        <v>114.16</v>
      </c>
      <c r="IC30" s="143">
        <f t="shared" si="26"/>
        <v>0</v>
      </c>
      <c r="ID30" s="75">
        <f t="shared" si="43"/>
        <v>0</v>
      </c>
      <c r="IE30" s="76">
        <f t="shared" si="27"/>
        <v>114.16</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f t="shared" si="52"/>
        <v>15</v>
      </c>
      <c r="IY30" s="7">
        <f t="shared" si="49"/>
        <v>25</v>
      </c>
      <c r="IZ30" s="223" cm="1">
        <f t="array" ref="IZ30">IF(IW30&lt;=$HH$1-1,
IF(IX30&lt;&gt;IX29,
INDEX($M$6:$GP$190,1,IY30+1),INDEX($M$6:$GP$190,MIN(IY30,IY29)+1,MAX(IY30,IY29)+1))+IF(IX30&lt;&gt;IX31,INDEX($M$6:$GP$190,1,IY30+1),0),"")</f>
        <v>0.19</v>
      </c>
      <c r="JA30" s="7" t="str">
        <f t="shared" ca="1" si="50"/>
        <v>10:04 AM, 8:00 AM, 1</v>
      </c>
    </row>
    <row r="31" spans="1:274" ht="17" thickBot="1" x14ac:dyDescent="0.25">
      <c r="A31" s="282">
        <f>+Input!D44</f>
        <v>1.25</v>
      </c>
      <c r="B31" s="1">
        <v>26</v>
      </c>
      <c r="C31" s="188">
        <f t="shared" si="4"/>
        <v>1</v>
      </c>
      <c r="D31" s="54">
        <f t="shared" si="5"/>
        <v>11</v>
      </c>
      <c r="E31" s="18">
        <f t="shared" si="6"/>
        <v>1.1599999999999999</v>
      </c>
      <c r="F31" s="1">
        <f t="shared" ca="1" si="7"/>
        <v>1.25</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113.17,33.75,0,0</v>
      </c>
      <c r="HB31" s="56">
        <f t="shared" si="11"/>
        <v>7</v>
      </c>
      <c r="HC31" s="56">
        <f t="shared" si="12"/>
        <v>13</v>
      </c>
      <c r="HD31" s="55">
        <f t="shared" si="0"/>
        <v>113.17</v>
      </c>
      <c r="HE31" s="219">
        <f t="shared" si="13"/>
        <v>0</v>
      </c>
      <c r="HF31" s="55">
        <f t="shared" si="14"/>
        <v>0</v>
      </c>
      <c r="HG31" s="108" t="str">
        <f t="shared" si="15"/>
        <v>FEAS.</v>
      </c>
      <c r="HH31" s="85">
        <f t="shared" si="16"/>
        <v>0</v>
      </c>
      <c r="HI31" s="106">
        <f t="shared" si="17"/>
        <v>70</v>
      </c>
      <c r="HJ31" s="29">
        <v>26</v>
      </c>
      <c r="HK31" s="85">
        <f t="shared" si="18"/>
        <v>1</v>
      </c>
      <c r="HL31" s="85">
        <f t="shared" si="40"/>
        <v>11</v>
      </c>
      <c r="HM31" s="108" cm="1">
        <f t="array" ref="HM31">IF(HJ31&lt;=$HH$1-1,IF(HK31&lt;&gt;HK30,INDEX($M$6:$GP$190,1,HL31+1),INDEX($M$6:$GP$190,MIN(HL31,HL30)+1,MAX(HL31,HL30)+1))+IF(HK31&lt;&gt;HK32,INDEX($M$6:$GP$190,1,HL31+1),0),"")</f>
        <v>1.1599999999999999</v>
      </c>
      <c r="HN31" s="396" t="str">
        <f ca="1">IF(ISNUMBER(HL31),'Vehicle site info'!AK34,"")</f>
        <v>10:07 AM, 10:00 AM, 1</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115.2,33.75,0,0</v>
      </c>
      <c r="HZ31" s="75">
        <f t="shared" si="23"/>
        <v>6</v>
      </c>
      <c r="IA31" s="75">
        <f t="shared" si="24"/>
        <v>12</v>
      </c>
      <c r="IB31" s="387">
        <f t="shared" si="25"/>
        <v>115.2</v>
      </c>
      <c r="IC31" s="143">
        <f t="shared" si="26"/>
        <v>0</v>
      </c>
      <c r="ID31" s="75">
        <f t="shared" si="43"/>
        <v>0</v>
      </c>
      <c r="IE31" s="76">
        <f t="shared" si="27"/>
        <v>115.2</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f t="shared" si="52"/>
        <v>15</v>
      </c>
      <c r="IY31" s="7">
        <f t="shared" si="49"/>
        <v>11</v>
      </c>
      <c r="IZ31" s="223" cm="1">
        <f t="array" ref="IZ31">IF(IW31&lt;=$HH$1-1,
IF(IX31&lt;&gt;IX30,
INDEX($M$6:$GP$190,1,IY31+1),INDEX($M$6:$GP$190,MIN(IY31,IY30)+1,MAX(IY31,IY30)+1))+IF(IX31&lt;&gt;IX32,INDEX($M$6:$GP$190,1,IY31+1),0),"")</f>
        <v>1.1599999999999999</v>
      </c>
      <c r="JA31" s="7" t="str">
        <f t="shared" ca="1" si="50"/>
        <v>10:07 AM, 10:00 AM, 1</v>
      </c>
    </row>
    <row r="32" spans="1:274" ht="17" thickBot="1" x14ac:dyDescent="0.25">
      <c r="A32" s="282">
        <f>+Input!D45</f>
        <v>1.25</v>
      </c>
      <c r="B32" s="1">
        <v>27</v>
      </c>
      <c r="C32" s="188">
        <f t="shared" si="4"/>
        <v>1</v>
      </c>
      <c r="D32" s="54">
        <f t="shared" si="5"/>
        <v>20</v>
      </c>
      <c r="E32" s="18">
        <f t="shared" si="6"/>
        <v>5.8100000000000005</v>
      </c>
      <c r="F32" s="1">
        <f t="shared" ca="1" si="7"/>
        <v>1.25</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104.75,33.75,0,0</v>
      </c>
      <c r="HB32" s="56">
        <f t="shared" si="11"/>
        <v>7</v>
      </c>
      <c r="HC32" s="56">
        <f t="shared" si="12"/>
        <v>13</v>
      </c>
      <c r="HD32" s="55">
        <f t="shared" si="0"/>
        <v>104.75</v>
      </c>
      <c r="HE32" s="219">
        <f t="shared" si="13"/>
        <v>0</v>
      </c>
      <c r="HF32" s="55">
        <f t="shared" si="14"/>
        <v>0</v>
      </c>
      <c r="HG32" s="108" t="str">
        <f t="shared" si="15"/>
        <v>FEAS.</v>
      </c>
      <c r="HH32" s="85">
        <f t="shared" si="16"/>
        <v>0</v>
      </c>
      <c r="HI32" s="106">
        <f t="shared" si="17"/>
        <v>73</v>
      </c>
      <c r="HJ32" s="29">
        <v>27</v>
      </c>
      <c r="HK32" s="85">
        <f t="shared" si="18"/>
        <v>1</v>
      </c>
      <c r="HL32" s="85">
        <f t="shared" si="40"/>
        <v>20</v>
      </c>
      <c r="HM32" s="108" cm="1">
        <f t="array" ref="HM32">IF(HJ32&lt;=$HH$1-1,IF(HK32&lt;&gt;HK31,INDEX($M$6:$GP$190,1,HL32+1),INDEX($M$6:$GP$190,MIN(HL32,HL31)+1,MAX(HL32,HL31)+1))+IF(HK32&lt;&gt;HK33,INDEX($M$6:$GP$190,1,HL32+1),0),"")</f>
        <v>5.8100000000000005</v>
      </c>
      <c r="HN32" s="396" t="str">
        <f ca="1">IF(ISNUMBER(HL32),'Vehicle site info'!AK35,"")</f>
        <v>10:18 AM, 9:00 AM, 1</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114.77,33.75,0,0</v>
      </c>
      <c r="HZ32" s="75">
        <f t="shared" si="23"/>
        <v>7</v>
      </c>
      <c r="IA32" s="75">
        <f t="shared" si="24"/>
        <v>13</v>
      </c>
      <c r="IB32" s="387">
        <f t="shared" si="25"/>
        <v>114.77</v>
      </c>
      <c r="IC32" s="143">
        <f t="shared" si="26"/>
        <v>0</v>
      </c>
      <c r="ID32" s="75">
        <f t="shared" si="43"/>
        <v>0</v>
      </c>
      <c r="IE32" s="76">
        <f t="shared" si="27"/>
        <v>114.77</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f t="shared" si="52"/>
        <v>15</v>
      </c>
      <c r="IY32" s="7">
        <f t="shared" si="49"/>
        <v>20</v>
      </c>
      <c r="IZ32" s="223" cm="1">
        <f t="array" ref="IZ32">IF(IW32&lt;=$HH$1-1,
IF(IX32&lt;&gt;IX31,
INDEX($M$6:$GP$190,1,IY32+1),INDEX($M$6:$GP$190,MIN(IY32,IY31)+1,MAX(IY32,IY31)+1))+IF(IX32&lt;&gt;IX33,INDEX($M$6:$GP$190,1,IY32+1),0),"")</f>
        <v>5.8100000000000005</v>
      </c>
      <c r="JA32" s="7" t="str">
        <f t="shared" ca="1" si="50"/>
        <v>10:18 AM, 9:00 AM, 1</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102.11,33.75,0,0</v>
      </c>
      <c r="HB33" s="56">
        <f t="shared" si="11"/>
        <v>7</v>
      </c>
      <c r="HC33" s="56">
        <f t="shared" si="12"/>
        <v>13</v>
      </c>
      <c r="HD33" s="55">
        <f t="shared" si="0"/>
        <v>102.11</v>
      </c>
      <c r="HE33" s="219">
        <f t="shared" si="13"/>
        <v>0</v>
      </c>
      <c r="HF33" s="55">
        <f t="shared" si="14"/>
        <v>0</v>
      </c>
      <c r="HG33" s="108" t="str">
        <f t="shared" si="15"/>
        <v>FEAS.</v>
      </c>
      <c r="HH33" s="85">
        <f t="shared" si="16"/>
        <v>1</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122.01,33.75,0,0</v>
      </c>
      <c r="HZ33" s="75">
        <f t="shared" si="23"/>
        <v>7</v>
      </c>
      <c r="IA33" s="75">
        <f t="shared" si="24"/>
        <v>13</v>
      </c>
      <c r="IB33" s="387">
        <f t="shared" si="25"/>
        <v>122.01</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102.11,33.75,0,0</v>
      </c>
      <c r="HB34" s="56">
        <f t="shared" si="11"/>
        <v>7</v>
      </c>
      <c r="HC34" s="56">
        <f t="shared" si="12"/>
        <v>13</v>
      </c>
      <c r="HD34" s="55">
        <f t="shared" si="0"/>
        <v>102.11</v>
      </c>
      <c r="HE34" s="219">
        <f t="shared" si="13"/>
        <v>0</v>
      </c>
      <c r="HF34" s="55">
        <f t="shared" si="14"/>
        <v>0</v>
      </c>
      <c r="HG34" s="108" t="str">
        <f t="shared" si="15"/>
        <v>FEAS.</v>
      </c>
      <c r="HH34" s="85">
        <f t="shared" si="16"/>
        <v>1</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138.01,33.75,0,0</v>
      </c>
      <c r="HZ34" s="75">
        <f t="shared" si="23"/>
        <v>7</v>
      </c>
      <c r="IA34" s="75">
        <f t="shared" si="24"/>
        <v>13</v>
      </c>
      <c r="IB34" s="387">
        <f t="shared" si="25"/>
        <v>138.01</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102.11,33.75,0,0</v>
      </c>
      <c r="HB35" s="56">
        <f t="shared" si="11"/>
        <v>7</v>
      </c>
      <c r="HC35" s="56">
        <f t="shared" si="12"/>
        <v>13</v>
      </c>
      <c r="HD35" s="55">
        <f t="shared" si="0"/>
        <v>102.11</v>
      </c>
      <c r="HE35" s="219">
        <f t="shared" si="13"/>
        <v>0</v>
      </c>
      <c r="HF35" s="55">
        <f t="shared" si="14"/>
        <v>0</v>
      </c>
      <c r="HG35" s="108" t="str">
        <f t="shared" si="15"/>
        <v>FEAS.</v>
      </c>
      <c r="HH35" s="85">
        <f t="shared" si="16"/>
        <v>1</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126.68,33.75,0,0</v>
      </c>
      <c r="HZ35" s="75">
        <f t="shared" si="23"/>
        <v>7</v>
      </c>
      <c r="IA35" s="75">
        <f t="shared" si="24"/>
        <v>13</v>
      </c>
      <c r="IB35" s="387">
        <f t="shared" si="25"/>
        <v>126.68</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102.11,33.75,0,0</v>
      </c>
      <c r="HB36" s="56">
        <f t="shared" si="11"/>
        <v>7</v>
      </c>
      <c r="HC36" s="56">
        <f t="shared" si="12"/>
        <v>13</v>
      </c>
      <c r="HD36" s="55">
        <f t="shared" si="0"/>
        <v>102.11</v>
      </c>
      <c r="HE36" s="219">
        <f t="shared" si="13"/>
        <v>0</v>
      </c>
      <c r="HF36" s="55">
        <f t="shared" si="14"/>
        <v>0</v>
      </c>
      <c r="HG36" s="108" t="str">
        <f t="shared" si="15"/>
        <v>FEAS.</v>
      </c>
      <c r="HH36" s="85">
        <f t="shared" si="16"/>
        <v>1</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121.99,33.75,0,0</v>
      </c>
      <c r="HZ36" s="75">
        <f t="shared" si="23"/>
        <v>7</v>
      </c>
      <c r="IA36" s="75">
        <f t="shared" si="24"/>
        <v>13</v>
      </c>
      <c r="IB36" s="387">
        <f t="shared" si="25"/>
        <v>121.99</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114.21,33.75,0,0</v>
      </c>
      <c r="HZ37" s="75">
        <f t="shared" si="23"/>
        <v>7</v>
      </c>
      <c r="IA37" s="75">
        <f t="shared" si="24"/>
        <v>13</v>
      </c>
      <c r="IB37" s="387">
        <f t="shared" si="25"/>
        <v>114.21</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33.350000000000009</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HS7:HS8"/>
    <mergeCell ref="AB2:AC2"/>
    <mergeCell ref="IS4:IV4"/>
    <mergeCell ref="IO3:IV3"/>
    <mergeCell ref="IO4:IR4"/>
    <mergeCell ref="HD3:HG3"/>
    <mergeCell ref="HD4:HG4"/>
    <mergeCell ref="IG3:IJ3"/>
    <mergeCell ref="IQ2:IT2"/>
    <mergeCell ref="AD2:AF2"/>
    <mergeCell ref="GX1:GZ1"/>
    <mergeCell ref="HI1:HP1"/>
    <mergeCell ref="HD1:HG1"/>
    <mergeCell ref="HT1:HU1"/>
    <mergeCell ref="HI2:HP2"/>
    <mergeCell ref="A2:A3"/>
    <mergeCell ref="E2:F2"/>
    <mergeCell ref="C3:F4"/>
    <mergeCell ref="M2:O2"/>
    <mergeCell ref="P2:Q2"/>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0.37569444444444444</v>
      </c>
      <c r="P5" s="241"/>
      <c r="R5" s="241"/>
      <c r="S5" s="247"/>
      <c r="T5" s="6"/>
      <c r="U5" s="40"/>
      <c r="V5" s="40"/>
      <c r="W5" s="40"/>
      <c r="X5" s="40"/>
      <c r="Y5" s="40"/>
      <c r="Z5" s="40"/>
      <c r="AA5" s="40"/>
      <c r="AB5" s="40"/>
      <c r="AC5" s="40"/>
      <c r="AD5" s="40"/>
      <c r="AE5" s="40"/>
      <c r="AK5">
        <f ca="1">SUM(AJ9:AJ193)</f>
        <v>26</v>
      </c>
    </row>
    <row r="6" spans="1:40" ht="66" customHeight="1" thickBot="1" x14ac:dyDescent="0.2">
      <c r="A6" s="261">
        <f>+SUM(A9:A193)</f>
        <v>40</v>
      </c>
      <c r="E6" s="212" t="s">
        <v>163</v>
      </c>
      <c r="F6" s="283">
        <f>Input!D13</f>
        <v>25</v>
      </c>
      <c r="G6" s="263"/>
      <c r="H6" s="264">
        <f>+H5</f>
        <v>0.37569444444444444</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26 out of 32</v>
      </c>
      <c r="AK6" s="290" t="str">
        <f ca="1">IF(SUM(AJ9:AJ193)=$F$4,"All arrival times are feasible", "At least one arrival time is not feasible")</f>
        <v>At least one arrival time is not feasible</v>
      </c>
    </row>
    <row r="7" spans="1:40" ht="1" customHeight="1" thickBot="1" x14ac:dyDescent="0.2">
      <c r="A7" s="6"/>
      <c r="E7" s="1"/>
      <c r="F7" s="129">
        <f>'Vehicle site info'!D29</f>
        <v>10</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15</v>
      </c>
      <c r="E9" s="394">
        <f>+TCP!HM6</f>
        <v>0.66</v>
      </c>
      <c r="F9" s="237">
        <f ca="1">IF(B9&lt;=$F$4,OFFSET($A$8,D9,0),"")</f>
        <v>1.25</v>
      </c>
      <c r="G9" s="130">
        <v>1</v>
      </c>
      <c r="H9" s="315">
        <f>IF(ISNUMBER(TCP!HP6),TCP!HP6,"")</f>
        <v>27</v>
      </c>
      <c r="I9" s="237">
        <f>IF(ISNUMBER(H9),SUMIF($C$9:$C$193,G9,$E$9:$E$193),"")</f>
        <v>33.350000000000009</v>
      </c>
      <c r="J9" s="238">
        <f ca="1">IF(ISNUMBER(H9),SUMIF($C$9:$C$193,G9,$F$9:$F$193),"")</f>
        <v>33.75</v>
      </c>
      <c r="K9" s="236">
        <f>IF(ISNUMBER(H9),$H$6,"")</f>
        <v>0.37569444444444444</v>
      </c>
      <c r="L9" s="236">
        <f>IF(ISNUMBER(I9),K9+(I9/$F$6)*(1/24),"")</f>
        <v>0.43127777777777776</v>
      </c>
      <c r="M9" s="252">
        <f>IF(ISNUMBER(D9),D9,"")</f>
        <v>15</v>
      </c>
      <c r="N9" s="239">
        <f ca="1">IF(ISNUMBER(D9),IF(P9=0,OFFSET(TCP!$M$6,0,D9),OFFSET(TCP!$M$6,MIN(M9,P9),MAX(M9,P9))),"")</f>
        <v>0.66</v>
      </c>
      <c r="O9" s="239">
        <f>IF(ISNUMBER(D9),C9,"")</f>
        <v>1</v>
      </c>
      <c r="P9" s="240">
        <f>IF(ISNUMBER(D9),0,"")</f>
        <v>0</v>
      </c>
      <c r="Q9" s="248">
        <f ca="1">+N9</f>
        <v>0.66</v>
      </c>
      <c r="R9" s="258">
        <f ca="1">IF(ISNUMBER(P9),OFFSET($K$8,O9,0)+(Q9/$F$6)*(1/24),"")</f>
        <v>0.37679444444444443</v>
      </c>
      <c r="S9" s="246" t="str">
        <f ca="1">IF(ISNUMBER(R9),TEXT(R9,"H:MM AM/PM"),"")</f>
        <v>9:02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15</v>
      </c>
      <c r="AF9" s="260" t="str">
        <f ca="1">IF(ISNUMBER(R9),S9,"")</f>
        <v>9:02 AM</v>
      </c>
      <c r="AG9" s="260" t="str">
        <f ca="1">IF(ISNUMBER(AE9),U9,"")</f>
        <v>8:00 AM</v>
      </c>
      <c r="AH9" s="257">
        <f ca="1">IF(ISNUMBER(R9),R9,"")</f>
        <v>0.37679444444444443</v>
      </c>
      <c r="AI9" s="257">
        <f ca="1">IF(ISNUMBER(AD9),AD9,"")</f>
        <v>0.33333333333333331</v>
      </c>
      <c r="AJ9" s="1">
        <f ca="1">IF(B9&lt;=$F$4,IF(AND(ISNUMBER(AH9),AH9&gt;=AI9),1,0),"")</f>
        <v>1</v>
      </c>
      <c r="AK9" s="260" t="str">
        <f ca="1">IF(ISNUMBER(AJ9),+AF9&amp;", "&amp;AG9&amp;", "&amp;AJ9,"")</f>
        <v>9:02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22</v>
      </c>
      <c r="E10" s="394">
        <f>+TCP!HM7</f>
        <v>0.43</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22</v>
      </c>
      <c r="N10" s="239">
        <f ca="1">IF(ISNUMBER(D10),IF(P10=0,OFFSET(TCP!$M$6,0,D10),OFFSET(TCP!$M$6,MIN(M10,P10),MAX(M10,P10))),"")</f>
        <v>0.43</v>
      </c>
      <c r="O10" s="239">
        <f t="shared" ref="O10:O15" si="8">IF(ISNUMBER(D10),C10,"")</f>
        <v>1</v>
      </c>
      <c r="P10" s="240">
        <f>IF(ISNUMBER(D10),IF(O10=O9,D9,0),"")</f>
        <v>15</v>
      </c>
      <c r="Q10" s="248">
        <f ca="1">IF(ISNUMBER(D10),IF(P10&lt;&gt;0,Q9+N10,N10),"")</f>
        <v>1.0900000000000001</v>
      </c>
      <c r="R10" s="258">
        <f t="shared" ref="R10:R40" ca="1" si="9">IF(ISNUMBER(P10),OFFSET($K$8,O10,0)+(Q10/$F$6)*(1/24),"")</f>
        <v>0.37751111111111113</v>
      </c>
      <c r="S10" s="246" t="str">
        <f t="shared" ref="S10:S40" ca="1" si="10">IF(ISNUMBER(R10),TEXT(R10,"H:MM AM/PM"),"")</f>
        <v>9:03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22</v>
      </c>
      <c r="AF10" s="260" t="str">
        <f t="shared" ref="AF10:AF40" ca="1" si="20">IF(ISNUMBER(R10),S10,"")</f>
        <v>9:03 AM</v>
      </c>
      <c r="AG10" s="260" t="str">
        <f t="shared" ref="AG10:AG40" ca="1" si="21">IF(ISNUMBER(AE10),U10,"")</f>
        <v>7:00 AM</v>
      </c>
      <c r="AH10" s="257">
        <f t="shared" ref="AH10:AH40" ca="1" si="22">IF(ISNUMBER(R10),R10,"")</f>
        <v>0.37751111111111113</v>
      </c>
      <c r="AI10" s="257">
        <f t="shared" ref="AI10:AI40" ca="1" si="23">IF(ISNUMBER(AD10),AD10,"")</f>
        <v>0.29166666666666669</v>
      </c>
      <c r="AJ10" s="1">
        <f t="shared" ref="AJ10:AJ40" ca="1" si="24">IF(B10&lt;=$F$4,IF(AND(ISNUMBER(AH10),AH10&gt;=AI10),1,0),"")</f>
        <v>1</v>
      </c>
      <c r="AK10" s="260" t="str">
        <f t="shared" ref="AK10:AK42" ca="1" si="25">IF(ISNUMBER(AJ10),+AF10&amp;", "&amp;AG10&amp;", "&amp;AJ10,"")</f>
        <v>9:03 AM, 7:00 AM, 1</v>
      </c>
      <c r="AM10" s="319"/>
      <c r="AN10" s="1"/>
    </row>
    <row r="11" spans="1:40" ht="18" x14ac:dyDescent="0.2">
      <c r="A11" s="317">
        <f>IF(B11&lt;=$F$4,Input!D21,"")</f>
        <v>1.25</v>
      </c>
      <c r="B11" s="107">
        <v>3</v>
      </c>
      <c r="C11" s="233">
        <f t="shared" si="1"/>
        <v>1</v>
      </c>
      <c r="D11" s="130">
        <f>+TCP!HL8</f>
        <v>21</v>
      </c>
      <c r="E11" s="394">
        <f>+TCP!HM8</f>
        <v>0.56999999999999995</v>
      </c>
      <c r="F11" s="237">
        <f t="shared" ca="1" si="2"/>
        <v>1.25</v>
      </c>
      <c r="G11" s="130">
        <v>3</v>
      </c>
      <c r="H11" s="315" t="str">
        <f>IF(ISNUMBER(TCP!HP8),TCP!HP8,"")</f>
        <v/>
      </c>
      <c r="I11" s="237" t="str">
        <f t="shared" si="3"/>
        <v/>
      </c>
      <c r="J11" s="238" t="str">
        <f t="shared" si="4"/>
        <v/>
      </c>
      <c r="K11" s="236" t="str">
        <f t="shared" si="5"/>
        <v/>
      </c>
      <c r="L11" s="236" t="str">
        <f t="shared" si="6"/>
        <v/>
      </c>
      <c r="M11" s="252">
        <f t="shared" si="7"/>
        <v>21</v>
      </c>
      <c r="N11" s="239">
        <f ca="1">IF(ISNUMBER(D11),IF(P11=0,OFFSET(TCP!$M$6,0,D11),OFFSET(TCP!$M$6,MIN(M11,P11),MAX(M11,P11))),"")</f>
        <v>0.56999999999999995</v>
      </c>
      <c r="O11" s="239">
        <f t="shared" si="8"/>
        <v>1</v>
      </c>
      <c r="P11" s="240">
        <f t="shared" ref="P11:P40" si="26">IF(ISNUMBER(D11),IF(O11=O10,D10,0),"")</f>
        <v>22</v>
      </c>
      <c r="Q11" s="248">
        <f t="shared" ref="Q11:Q43" ca="1" si="27">IF(ISNUMBER(D11),IF(P11&lt;&gt;0,Q10+N11,N11),"")</f>
        <v>1.6600000000000001</v>
      </c>
      <c r="R11" s="258">
        <f t="shared" ca="1" si="9"/>
        <v>0.37846111111111108</v>
      </c>
      <c r="S11" s="246" t="str">
        <f t="shared" ca="1" si="10"/>
        <v>9:04 AM</v>
      </c>
      <c r="T11" s="331" t="str">
        <f ca="1">IF(B11&lt;=$F$4,TEXT(OFFSET(Input!$H$18,M11,0),"H:MM AM/PM"),"")</f>
        <v>9:00 AM</v>
      </c>
      <c r="U11" s="248" t="str">
        <f t="shared" ca="1" si="0"/>
        <v>9:00 AM</v>
      </c>
      <c r="V11" s="1">
        <f t="shared" ca="1" si="11"/>
        <v>2</v>
      </c>
      <c r="W11" s="231" t="str">
        <f t="shared" ca="1" si="12"/>
        <v>9</v>
      </c>
      <c r="X11" s="231" t="str">
        <f t="shared" ca="1" si="13"/>
        <v>00</v>
      </c>
      <c r="Y11" s="1" t="str">
        <f t="shared" ca="1" si="14"/>
        <v>AM</v>
      </c>
      <c r="Z11" s="31">
        <f t="shared" ca="1" si="15"/>
        <v>0</v>
      </c>
      <c r="AA11" s="258" t="str">
        <f t="shared" ca="1" si="16"/>
        <v/>
      </c>
      <c r="AB11" s="256" t="str">
        <f t="shared" ca="1" si="17"/>
        <v/>
      </c>
      <c r="AC11" s="256">
        <f t="shared" ca="1" si="18"/>
        <v>0.375</v>
      </c>
      <c r="AD11" s="256" cm="1">
        <f t="array" aca="1" ref="AD11" ca="1">IF(B11&lt;=$F$4,SUM(IF(ISNUMBER(AA11:AC11),AA11:AC11)),"")</f>
        <v>0.375</v>
      </c>
      <c r="AE11" s="68">
        <f t="shared" si="19"/>
        <v>21</v>
      </c>
      <c r="AF11" s="260" t="str">
        <f t="shared" ca="1" si="20"/>
        <v>9:04 AM</v>
      </c>
      <c r="AG11" s="260" t="str">
        <f t="shared" ca="1" si="21"/>
        <v>9:00 AM</v>
      </c>
      <c r="AH11" s="257">
        <f t="shared" ca="1" si="22"/>
        <v>0.37846111111111108</v>
      </c>
      <c r="AI11" s="257">
        <f t="shared" ca="1" si="23"/>
        <v>0.375</v>
      </c>
      <c r="AJ11" s="1">
        <f t="shared" ca="1" si="24"/>
        <v>1</v>
      </c>
      <c r="AK11" s="260" t="str">
        <f t="shared" ca="1" si="25"/>
        <v>9:04 AM, 9:00 AM, 1</v>
      </c>
      <c r="AM11" s="319"/>
      <c r="AN11" s="1"/>
    </row>
    <row r="12" spans="1:40" ht="18" x14ac:dyDescent="0.2">
      <c r="A12" s="317">
        <f>IF(B12&lt;=$F$4,Input!D22,"")</f>
        <v>1.25</v>
      </c>
      <c r="B12" s="107">
        <v>4</v>
      </c>
      <c r="C12" s="233">
        <f t="shared" si="1"/>
        <v>1</v>
      </c>
      <c r="D12" s="130">
        <f>+TCP!HL9</f>
        <v>23</v>
      </c>
      <c r="E12" s="394">
        <f>+TCP!HM9</f>
        <v>0.88</v>
      </c>
      <c r="F12" s="237">
        <f t="shared" ca="1" si="2"/>
        <v>1.25</v>
      </c>
      <c r="G12" s="130">
        <v>4</v>
      </c>
      <c r="H12" s="315" t="str">
        <f>IF(ISNUMBER(TCP!HP9),TCP!HP9,"")</f>
        <v/>
      </c>
      <c r="I12" s="237" t="str">
        <f t="shared" si="3"/>
        <v/>
      </c>
      <c r="J12" s="238" t="str">
        <f t="shared" si="4"/>
        <v/>
      </c>
      <c r="K12" s="236" t="str">
        <f t="shared" si="5"/>
        <v/>
      </c>
      <c r="L12" s="236" t="str">
        <f t="shared" si="6"/>
        <v/>
      </c>
      <c r="M12" s="252">
        <f t="shared" si="7"/>
        <v>23</v>
      </c>
      <c r="N12" s="239">
        <f ca="1">IF(ISNUMBER(D12),IF(P12=0,OFFSET(TCP!$M$6,0,D12),OFFSET(TCP!$M$6,MIN(M12,P12),MAX(M12,P12))),"")</f>
        <v>0.88</v>
      </c>
      <c r="O12" s="239">
        <f t="shared" si="8"/>
        <v>1</v>
      </c>
      <c r="P12" s="240">
        <f t="shared" si="26"/>
        <v>21</v>
      </c>
      <c r="Q12" s="248">
        <f t="shared" ca="1" si="27"/>
        <v>2.54</v>
      </c>
      <c r="R12" s="258">
        <f t="shared" ca="1" si="9"/>
        <v>0.37992777777777775</v>
      </c>
      <c r="S12" s="246" t="str">
        <f t="shared" ca="1" si="10"/>
        <v>9:07 AM</v>
      </c>
      <c r="T12" s="331" t="str">
        <f ca="1">IF(B12&lt;=$F$4,TEXT(OFFSET(Input!$H$18,M12,0),"H:MM AM/PM"),"")</f>
        <v>7:30 AM</v>
      </c>
      <c r="U12" s="248" t="str">
        <f t="shared" ca="1" si="0"/>
        <v>7:30 AM</v>
      </c>
      <c r="V12" s="1">
        <f t="shared" ca="1" si="11"/>
        <v>2</v>
      </c>
      <c r="W12" s="231" t="str">
        <f t="shared" ca="1" si="12"/>
        <v>7</v>
      </c>
      <c r="X12" s="231" t="str">
        <f t="shared" ca="1" si="13"/>
        <v>30</v>
      </c>
      <c r="Y12" s="1" t="str">
        <f t="shared" ca="1" si="14"/>
        <v>AM</v>
      </c>
      <c r="Z12" s="31">
        <f t="shared" ca="1" si="15"/>
        <v>0</v>
      </c>
      <c r="AA12" s="258" t="str">
        <f t="shared" ca="1" si="16"/>
        <v/>
      </c>
      <c r="AB12" s="256" t="str">
        <f t="shared" ca="1" si="17"/>
        <v/>
      </c>
      <c r="AC12" s="256">
        <f t="shared" ca="1" si="18"/>
        <v>0.3125</v>
      </c>
      <c r="AD12" s="256" cm="1">
        <f t="array" aca="1" ref="AD12" ca="1">IF(B12&lt;=$F$4,SUM(IF(ISNUMBER(AA12:AC12),AA12:AC12)),"")</f>
        <v>0.3125</v>
      </c>
      <c r="AE12" s="68">
        <f t="shared" si="19"/>
        <v>23</v>
      </c>
      <c r="AF12" s="260" t="str">
        <f t="shared" ca="1" si="20"/>
        <v>9:07 AM</v>
      </c>
      <c r="AG12" s="260" t="str">
        <f t="shared" ca="1" si="21"/>
        <v>7:30 AM</v>
      </c>
      <c r="AH12" s="257">
        <f t="shared" ca="1" si="22"/>
        <v>0.37992777777777775</v>
      </c>
      <c r="AI12" s="257">
        <f t="shared" ca="1" si="23"/>
        <v>0.3125</v>
      </c>
      <c r="AJ12" s="1">
        <f t="shared" ca="1" si="24"/>
        <v>1</v>
      </c>
      <c r="AK12" s="260" t="str">
        <f t="shared" ca="1" si="25"/>
        <v>9:07 AM, 7:30 AM, 1</v>
      </c>
      <c r="AM12" s="319"/>
      <c r="AN12" s="1"/>
    </row>
    <row r="13" spans="1:40" ht="18" x14ac:dyDescent="0.2">
      <c r="A13" s="317">
        <f>IF(B13&lt;=$F$4,Input!D23,"")</f>
        <v>1.25</v>
      </c>
      <c r="B13" s="107">
        <v>5</v>
      </c>
      <c r="C13" s="233">
        <f t="shared" si="1"/>
        <v>1</v>
      </c>
      <c r="D13" s="130">
        <f>+TCP!HL10</f>
        <v>14</v>
      </c>
      <c r="E13" s="394">
        <f>+TCP!HM10</f>
        <v>2.67</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14</v>
      </c>
      <c r="N13" s="239">
        <f ca="1">IF(ISNUMBER(D13),IF(P13=0,OFFSET(TCP!$M$6,0,D13),OFFSET(TCP!$M$6,MIN(M13,P13),MAX(M13,P13))),"")</f>
        <v>2.67</v>
      </c>
      <c r="O13" s="239">
        <f t="shared" si="8"/>
        <v>1</v>
      </c>
      <c r="P13" s="240">
        <f t="shared" si="26"/>
        <v>23</v>
      </c>
      <c r="Q13" s="248">
        <f t="shared" ca="1" si="27"/>
        <v>5.21</v>
      </c>
      <c r="R13" s="258">
        <f t="shared" ca="1" si="9"/>
        <v>0.38437777777777776</v>
      </c>
      <c r="S13" s="246" t="str">
        <f t="shared" ca="1" si="10"/>
        <v>9:13 AM</v>
      </c>
      <c r="T13" s="331" t="str">
        <f ca="1">IF(B13&lt;=$F$4,TEXT(OFFSET(Input!$H$18,M13,0),"H:MM AM/PM"),"")</f>
        <v>6:00 AM</v>
      </c>
      <c r="U13" s="248" t="str">
        <f t="shared" ca="1" si="0"/>
        <v>6:00 AM</v>
      </c>
      <c r="V13" s="1">
        <f t="shared" ca="1" si="11"/>
        <v>2</v>
      </c>
      <c r="W13" s="231" t="str">
        <f t="shared" ca="1" si="12"/>
        <v>6</v>
      </c>
      <c r="X13" s="231" t="str">
        <f t="shared" ca="1" si="13"/>
        <v>00</v>
      </c>
      <c r="Y13" s="1" t="str">
        <f t="shared" ca="1" si="14"/>
        <v>AM</v>
      </c>
      <c r="Z13" s="31">
        <f t="shared" ca="1" si="15"/>
        <v>0</v>
      </c>
      <c r="AA13" s="258" t="str">
        <f t="shared" ca="1" si="16"/>
        <v/>
      </c>
      <c r="AB13" s="256" t="str">
        <f t="shared" ca="1" si="17"/>
        <v/>
      </c>
      <c r="AC13" s="256">
        <f t="shared" ca="1" si="18"/>
        <v>0.25</v>
      </c>
      <c r="AD13" s="256" cm="1">
        <f t="array" aca="1" ref="AD13" ca="1">IF(B13&lt;=$F$4,SUM(IF(ISNUMBER(AA13:AC13),AA13:AC13)),"")</f>
        <v>0.25</v>
      </c>
      <c r="AE13" s="68">
        <f t="shared" si="19"/>
        <v>14</v>
      </c>
      <c r="AF13" s="260" t="str">
        <f t="shared" ca="1" si="20"/>
        <v>9:13 AM</v>
      </c>
      <c r="AG13" s="260" t="str">
        <f t="shared" ca="1" si="21"/>
        <v>6:00 AM</v>
      </c>
      <c r="AH13" s="257">
        <f t="shared" ca="1" si="22"/>
        <v>0.38437777777777776</v>
      </c>
      <c r="AI13" s="257">
        <f t="shared" ca="1" si="23"/>
        <v>0.25</v>
      </c>
      <c r="AJ13" s="1">
        <f t="shared" ca="1" si="24"/>
        <v>1</v>
      </c>
      <c r="AK13" s="260" t="str">
        <f t="shared" ca="1" si="25"/>
        <v>9:13 AM, 6:00 AM, 1</v>
      </c>
      <c r="AM13" s="319"/>
      <c r="AN13" s="1"/>
    </row>
    <row r="14" spans="1:40" ht="18" x14ac:dyDescent="0.2">
      <c r="A14" s="317">
        <f>IF(B14&lt;=$F$4,Input!D24,"")</f>
        <v>1.25</v>
      </c>
      <c r="B14" s="107">
        <v>6</v>
      </c>
      <c r="C14" s="233">
        <f t="shared" si="1"/>
        <v>1</v>
      </c>
      <c r="D14" s="130">
        <f>+TCP!HL11</f>
        <v>30</v>
      </c>
      <c r="E14" s="394">
        <f>+TCP!HM11</f>
        <v>0.6</v>
      </c>
      <c r="F14" s="237">
        <f t="shared" ca="1" si="2"/>
        <v>1.25</v>
      </c>
      <c r="G14" s="130">
        <v>6</v>
      </c>
      <c r="H14" s="315" t="str">
        <f>IF(ISNUMBER(TCP!HP11),TCP!HP11,"")</f>
        <v/>
      </c>
      <c r="I14" s="237" t="str">
        <f t="shared" si="3"/>
        <v/>
      </c>
      <c r="J14" s="238" t="str">
        <f t="shared" si="4"/>
        <v/>
      </c>
      <c r="K14" s="236" t="str">
        <f t="shared" si="5"/>
        <v/>
      </c>
      <c r="L14" s="236" t="str">
        <f t="shared" si="28"/>
        <v/>
      </c>
      <c r="M14" s="252">
        <f t="shared" si="7"/>
        <v>30</v>
      </c>
      <c r="N14" s="239">
        <f ca="1">IF(ISNUMBER(D14),IF(P14=0,OFFSET(TCP!$M$6,0,D14),OFFSET(TCP!$M$6,MIN(M14,P14),MAX(M14,P14))),"")</f>
        <v>0.6</v>
      </c>
      <c r="O14" s="239">
        <f t="shared" si="8"/>
        <v>1</v>
      </c>
      <c r="P14" s="240">
        <f t="shared" si="26"/>
        <v>14</v>
      </c>
      <c r="Q14" s="248">
        <f t="shared" ca="1" si="27"/>
        <v>5.81</v>
      </c>
      <c r="R14" s="258">
        <f t="shared" ca="1" si="9"/>
        <v>0.38537777777777776</v>
      </c>
      <c r="S14" s="246" t="str">
        <f t="shared" ca="1" si="10"/>
        <v>9:14 AM</v>
      </c>
      <c r="T14" s="331" t="str">
        <f ca="1">IF(B14&lt;=$F$4,TEXT(OFFSET(Input!$H$18,M14,0),"H:MM AM/PM"),"")</f>
        <v>6:00 AM</v>
      </c>
      <c r="U14" s="248" t="str">
        <f t="shared" ca="1" si="0"/>
        <v>6:00 AM</v>
      </c>
      <c r="V14" s="1">
        <f t="shared" ca="1" si="11"/>
        <v>2</v>
      </c>
      <c r="W14" s="231" t="str">
        <f t="shared" ca="1" si="12"/>
        <v>6</v>
      </c>
      <c r="X14" s="231" t="str">
        <f t="shared" ca="1" si="13"/>
        <v>00</v>
      </c>
      <c r="Y14" s="1" t="str">
        <f t="shared" ca="1" si="14"/>
        <v>AM</v>
      </c>
      <c r="Z14" s="31">
        <f t="shared" ca="1" si="15"/>
        <v>0</v>
      </c>
      <c r="AA14" s="258" t="str">
        <f t="shared" ca="1" si="16"/>
        <v/>
      </c>
      <c r="AB14" s="256" t="str">
        <f t="shared" ca="1" si="17"/>
        <v/>
      </c>
      <c r="AC14" s="256">
        <f t="shared" ca="1" si="18"/>
        <v>0.25</v>
      </c>
      <c r="AD14" s="256" cm="1">
        <f t="array" aca="1" ref="AD14" ca="1">IF(B14&lt;=$F$4,SUM(IF(ISNUMBER(AA14:AC14),AA14:AC14)),"")</f>
        <v>0.25</v>
      </c>
      <c r="AE14" s="68">
        <f t="shared" si="19"/>
        <v>30</v>
      </c>
      <c r="AF14" s="260" t="str">
        <f t="shared" ca="1" si="20"/>
        <v>9:14 AM</v>
      </c>
      <c r="AG14" s="260" t="str">
        <f t="shared" ca="1" si="21"/>
        <v>6:00 AM</v>
      </c>
      <c r="AH14" s="257">
        <f t="shared" ca="1" si="22"/>
        <v>0.38537777777777776</v>
      </c>
      <c r="AI14" s="257">
        <f t="shared" ca="1" si="23"/>
        <v>0.25</v>
      </c>
      <c r="AJ14" s="1">
        <f t="shared" ca="1" si="24"/>
        <v>1</v>
      </c>
      <c r="AK14" s="260" t="str">
        <f t="shared" ca="1" si="25"/>
        <v>9:14 AM, 6:00 AM, 1</v>
      </c>
      <c r="AM14" s="319"/>
      <c r="AN14" s="1"/>
    </row>
    <row r="15" spans="1:40" ht="13" customHeight="1" x14ac:dyDescent="0.2">
      <c r="A15" s="317">
        <f>IF(B15&lt;=$F$4,Input!D25,"")</f>
        <v>1.25</v>
      </c>
      <c r="B15" s="107">
        <v>7</v>
      </c>
      <c r="C15" s="233">
        <f t="shared" si="1"/>
        <v>1</v>
      </c>
      <c r="D15" s="130">
        <f>+TCP!HL12</f>
        <v>28</v>
      </c>
      <c r="E15" s="394">
        <f>+TCP!HM12</f>
        <v>0.73</v>
      </c>
      <c r="F15" s="237">
        <f t="shared" ca="1" si="2"/>
        <v>1.25</v>
      </c>
      <c r="G15" s="130">
        <v>7</v>
      </c>
      <c r="H15" s="315" t="str">
        <f>IF(ISNUMBER(TCP!HP12),TCP!HP12,"")</f>
        <v/>
      </c>
      <c r="I15" s="237" t="str">
        <f t="shared" si="3"/>
        <v/>
      </c>
      <c r="J15" s="238" t="str">
        <f t="shared" si="4"/>
        <v/>
      </c>
      <c r="K15" s="236" t="str">
        <f t="shared" si="5"/>
        <v/>
      </c>
      <c r="L15" s="236" t="str">
        <f t="shared" si="28"/>
        <v/>
      </c>
      <c r="M15" s="252">
        <f t="shared" si="7"/>
        <v>28</v>
      </c>
      <c r="N15" s="239">
        <f ca="1">IF(ISNUMBER(D15),IF(P15=0,OFFSET(TCP!$M$6,0,D15),OFFSET(TCP!$M$6,MIN(M15,P15),MAX(M15,P15))),"")</f>
        <v>0.73</v>
      </c>
      <c r="O15" s="239">
        <f t="shared" si="8"/>
        <v>1</v>
      </c>
      <c r="P15" s="240">
        <f t="shared" si="26"/>
        <v>30</v>
      </c>
      <c r="Q15" s="248">
        <f t="shared" ca="1" si="27"/>
        <v>6.5399999999999991</v>
      </c>
      <c r="R15" s="258">
        <f t="shared" ca="1" si="9"/>
        <v>0.38659444444444446</v>
      </c>
      <c r="S15" s="246" t="str">
        <f t="shared" ca="1" si="10"/>
        <v>9:16 AM</v>
      </c>
      <c r="T15" s="331" t="str">
        <f ca="1">IF(B15&lt;=$F$4,TEXT(OFFSET(Input!$H$18,M15,0),"H:MM AM/PM"),"")</f>
        <v>6:00 AM</v>
      </c>
      <c r="U15" s="248" t="str">
        <f t="shared" ca="1" si="0"/>
        <v>6:00 AM</v>
      </c>
      <c r="V15" s="1">
        <f t="shared" ca="1" si="11"/>
        <v>2</v>
      </c>
      <c r="W15" s="231" t="str">
        <f t="shared" ca="1" si="12"/>
        <v>6</v>
      </c>
      <c r="X15" s="231" t="str">
        <f t="shared" ca="1" si="13"/>
        <v>00</v>
      </c>
      <c r="Y15" s="1" t="str">
        <f t="shared" ca="1" si="14"/>
        <v>AM</v>
      </c>
      <c r="Z15" s="31">
        <f t="shared" ca="1" si="15"/>
        <v>0</v>
      </c>
      <c r="AA15" s="258" t="str">
        <f t="shared" ca="1" si="16"/>
        <v/>
      </c>
      <c r="AB15" s="256" t="str">
        <f t="shared" ca="1" si="17"/>
        <v/>
      </c>
      <c r="AC15" s="256">
        <f t="shared" ca="1" si="18"/>
        <v>0.25</v>
      </c>
      <c r="AD15" s="256" cm="1">
        <f t="array" aca="1" ref="AD15" ca="1">IF(B15&lt;=$F$4,SUM(IF(ISNUMBER(AA15:AC15),AA15:AC15)),"")</f>
        <v>0.25</v>
      </c>
      <c r="AE15" s="68">
        <f t="shared" si="19"/>
        <v>28</v>
      </c>
      <c r="AF15" s="260" t="str">
        <f t="shared" ca="1" si="20"/>
        <v>9:16 AM</v>
      </c>
      <c r="AG15" s="260" t="str">
        <f t="shared" ca="1" si="21"/>
        <v>6:00 AM</v>
      </c>
      <c r="AH15" s="257">
        <f t="shared" ca="1" si="22"/>
        <v>0.38659444444444446</v>
      </c>
      <c r="AI15" s="257">
        <f t="shared" ca="1" si="23"/>
        <v>0.25</v>
      </c>
      <c r="AJ15" s="1">
        <f t="shared" ca="1" si="24"/>
        <v>1</v>
      </c>
      <c r="AK15" s="260" t="str">
        <f t="shared" ca="1" si="25"/>
        <v>9:16 AM, 6:00 AM, 1</v>
      </c>
      <c r="AM15" s="319"/>
      <c r="AN15" s="1"/>
    </row>
    <row r="16" spans="1:40" ht="18" x14ac:dyDescent="0.2">
      <c r="A16" s="317">
        <f>IF(B16&lt;=$F$4,Input!D26,"")</f>
        <v>1.25</v>
      </c>
      <c r="B16" s="107">
        <v>8</v>
      </c>
      <c r="C16" s="233">
        <f t="shared" si="1"/>
        <v>1</v>
      </c>
      <c r="D16" s="130">
        <f>+TCP!HL13</f>
        <v>32</v>
      </c>
      <c r="E16" s="394">
        <f>+TCP!HM13</f>
        <v>3.55</v>
      </c>
      <c r="F16" s="237">
        <f t="shared" ca="1" si="2"/>
        <v>1.25</v>
      </c>
      <c r="G16" s="130">
        <v>8</v>
      </c>
      <c r="H16" s="315" t="str">
        <f>IF(ISNUMBER(TCP!HP13),TCP!HP13,"")</f>
        <v/>
      </c>
      <c r="I16" s="237" t="str">
        <f t="shared" si="3"/>
        <v/>
      </c>
      <c r="J16" s="238" t="str">
        <f t="shared" si="4"/>
        <v/>
      </c>
      <c r="K16" s="236" t="str">
        <f t="shared" si="5"/>
        <v/>
      </c>
      <c r="L16" s="236" t="str">
        <f t="shared" si="28"/>
        <v/>
      </c>
      <c r="M16" s="252">
        <f t="shared" si="7"/>
        <v>32</v>
      </c>
      <c r="N16" s="239">
        <f ca="1">IF(ISNUMBER(D16),IF(P16=0,OFFSET(TCP!$M$6,0,D16),OFFSET(TCP!$M$6,MIN(M16,P16),MAX(M16,P16))),"")</f>
        <v>3.55</v>
      </c>
      <c r="O16" s="239">
        <f t="shared" ref="O16:O40" si="29">IF(ISNUMBER(D16),C16,"")</f>
        <v>1</v>
      </c>
      <c r="P16" s="240">
        <f t="shared" si="26"/>
        <v>28</v>
      </c>
      <c r="Q16" s="248">
        <f t="shared" ca="1" si="27"/>
        <v>10.09</v>
      </c>
      <c r="R16" s="258">
        <f t="shared" ca="1" si="9"/>
        <v>0.39251111111111109</v>
      </c>
      <c r="S16" s="246" t="str">
        <f t="shared" ca="1" si="10"/>
        <v>9:25 AM</v>
      </c>
      <c r="T16" s="331" t="str">
        <f ca="1">IF(B16&lt;=$F$4,TEXT(OFFSET(Input!$H$18,M16,0),"H:MM AM/PM"),"")</f>
        <v>8:00 AM</v>
      </c>
      <c r="U16" s="248" t="str">
        <f t="shared" ca="1" si="0"/>
        <v>8:00 AM</v>
      </c>
      <c r="V16" s="1">
        <f t="shared" ca="1" si="11"/>
        <v>2</v>
      </c>
      <c r="W16" s="231" t="str">
        <f t="shared" ca="1" si="12"/>
        <v>8</v>
      </c>
      <c r="X16" s="231" t="str">
        <f t="shared" ca="1" si="13"/>
        <v>00</v>
      </c>
      <c r="Y16" s="1" t="str">
        <f t="shared" ca="1" si="14"/>
        <v>AM</v>
      </c>
      <c r="Z16" s="31">
        <f t="shared" ca="1" si="15"/>
        <v>0</v>
      </c>
      <c r="AA16" s="258" t="str">
        <f t="shared" ca="1" si="16"/>
        <v/>
      </c>
      <c r="AB16" s="256" t="str">
        <f t="shared" ca="1" si="17"/>
        <v/>
      </c>
      <c r="AC16" s="256">
        <f t="shared" ca="1" si="18"/>
        <v>0.33333333333333331</v>
      </c>
      <c r="AD16" s="256" cm="1">
        <f t="array" aca="1" ref="AD16" ca="1">IF(B16&lt;=$F$4,SUM(IF(ISNUMBER(AA16:AC16),AA16:AC16)),"")</f>
        <v>0.33333333333333331</v>
      </c>
      <c r="AE16" s="68">
        <f t="shared" si="19"/>
        <v>32</v>
      </c>
      <c r="AF16" s="260" t="str">
        <f t="shared" ca="1" si="20"/>
        <v>9:25 AM</v>
      </c>
      <c r="AG16" s="260" t="str">
        <f t="shared" ca="1" si="21"/>
        <v>8:00 AM</v>
      </c>
      <c r="AH16" s="257">
        <f t="shared" ca="1" si="22"/>
        <v>0.39251111111111109</v>
      </c>
      <c r="AI16" s="257">
        <f t="shared" ca="1" si="23"/>
        <v>0.33333333333333331</v>
      </c>
      <c r="AJ16" s="1">
        <f t="shared" ca="1" si="24"/>
        <v>1</v>
      </c>
      <c r="AK16" s="260" t="str">
        <f t="shared" ca="1" si="25"/>
        <v>9:25 AM, 8:00 AM, 1</v>
      </c>
      <c r="AM16" s="319"/>
      <c r="AN16" s="1"/>
    </row>
    <row r="17" spans="1:37" ht="18" x14ac:dyDescent="0.2">
      <c r="A17" s="317">
        <f>IF(B17&lt;=$F$4,Input!D27,"")</f>
        <v>1.25</v>
      </c>
      <c r="B17" s="107">
        <v>9</v>
      </c>
      <c r="C17" s="233">
        <f t="shared" si="1"/>
        <v>1</v>
      </c>
      <c r="D17" s="130">
        <f>+TCP!HL14</f>
        <v>7</v>
      </c>
      <c r="E17" s="394">
        <f>+TCP!HM14</f>
        <v>2.23</v>
      </c>
      <c r="F17" s="237">
        <f t="shared" ca="1" si="2"/>
        <v>1.25</v>
      </c>
      <c r="G17" s="130">
        <v>9</v>
      </c>
      <c r="H17" s="315" t="str">
        <f>IF(ISNUMBER(TCP!HP14),TCP!HP14,"")</f>
        <v/>
      </c>
      <c r="I17" s="237" t="str">
        <f t="shared" si="3"/>
        <v/>
      </c>
      <c r="J17" s="238" t="str">
        <f t="shared" si="4"/>
        <v/>
      </c>
      <c r="K17" s="236" t="str">
        <f t="shared" si="5"/>
        <v/>
      </c>
      <c r="L17" s="236" t="str">
        <f t="shared" si="28"/>
        <v/>
      </c>
      <c r="M17" s="252">
        <f t="shared" si="7"/>
        <v>7</v>
      </c>
      <c r="N17" s="239">
        <f ca="1">IF(ISNUMBER(D17),IF(P17=0,OFFSET(TCP!$M$6,0,D17),OFFSET(TCP!$M$6,MIN(M17,P17),MAX(M17,P17))),"")</f>
        <v>2.23</v>
      </c>
      <c r="O17" s="239">
        <f t="shared" si="29"/>
        <v>1</v>
      </c>
      <c r="P17" s="240">
        <f t="shared" si="26"/>
        <v>32</v>
      </c>
      <c r="Q17" s="248">
        <f t="shared" ca="1" si="27"/>
        <v>12.32</v>
      </c>
      <c r="R17" s="258">
        <f t="shared" ca="1" si="9"/>
        <v>0.39622777777777779</v>
      </c>
      <c r="S17" s="246" t="str">
        <f t="shared" ca="1" si="10"/>
        <v>9:30 AM</v>
      </c>
      <c r="T17" s="331" t="str">
        <f ca="1">IF(B17&lt;=$F$4,TEXT(OFFSET(Input!$H$18,M17,0),"H:MM AM/PM"),"")</f>
        <v>7:30 AM</v>
      </c>
      <c r="U17" s="248" t="str">
        <f t="shared" ca="1" si="0"/>
        <v>7:30 AM</v>
      </c>
      <c r="V17" s="1">
        <f t="shared" ca="1" si="11"/>
        <v>2</v>
      </c>
      <c r="W17" s="231" t="str">
        <f t="shared" ca="1" si="12"/>
        <v>7</v>
      </c>
      <c r="X17" s="231" t="str">
        <f t="shared" ca="1" si="13"/>
        <v>30</v>
      </c>
      <c r="Y17" s="1" t="str">
        <f t="shared" ca="1" si="14"/>
        <v>AM</v>
      </c>
      <c r="Z17" s="31">
        <f t="shared" ca="1" si="15"/>
        <v>0</v>
      </c>
      <c r="AA17" s="258" t="str">
        <f t="shared" ca="1" si="16"/>
        <v/>
      </c>
      <c r="AB17" s="256" t="str">
        <f t="shared" ca="1" si="17"/>
        <v/>
      </c>
      <c r="AC17" s="256">
        <f t="shared" ca="1" si="18"/>
        <v>0.3125</v>
      </c>
      <c r="AD17" s="256" cm="1">
        <f t="array" aca="1" ref="AD17" ca="1">IF(B17&lt;=$F$4,SUM(IF(ISNUMBER(AA17:AC17),AA17:AC17)),"")</f>
        <v>0.3125</v>
      </c>
      <c r="AE17" s="68">
        <f t="shared" si="19"/>
        <v>7</v>
      </c>
      <c r="AF17" s="260" t="str">
        <f t="shared" ca="1" si="20"/>
        <v>9:30 AM</v>
      </c>
      <c r="AG17" s="260" t="str">
        <f t="shared" ca="1" si="21"/>
        <v>7:30 AM</v>
      </c>
      <c r="AH17" s="257">
        <f t="shared" ca="1" si="22"/>
        <v>0.39622777777777779</v>
      </c>
      <c r="AI17" s="257">
        <f t="shared" ca="1" si="23"/>
        <v>0.3125</v>
      </c>
      <c r="AJ17" s="1">
        <f t="shared" ca="1" si="24"/>
        <v>1</v>
      </c>
      <c r="AK17" s="260" t="str">
        <f t="shared" ca="1" si="25"/>
        <v>9:30 AM, 7:30 AM, 1</v>
      </c>
    </row>
    <row r="18" spans="1:37" ht="13" customHeight="1" x14ac:dyDescent="0.2">
      <c r="A18" s="317">
        <f>IF(B18&lt;=$F$4,Input!D28,"")</f>
        <v>1.25</v>
      </c>
      <c r="B18" s="107">
        <v>10</v>
      </c>
      <c r="C18" s="233">
        <f t="shared" si="1"/>
        <v>1</v>
      </c>
      <c r="D18" s="130">
        <f>+TCP!HL15</f>
        <v>1</v>
      </c>
      <c r="E18" s="394">
        <f>+TCP!HM15</f>
        <v>0.24</v>
      </c>
      <c r="F18" s="237">
        <f t="shared" ca="1" si="2"/>
        <v>1.25</v>
      </c>
      <c r="G18" s="130">
        <v>10</v>
      </c>
      <c r="H18" s="315" t="str">
        <f>IF(ISNUMBER(TCP!HP15),TCP!HP15,"")</f>
        <v/>
      </c>
      <c r="I18" s="237" t="str">
        <f t="shared" si="3"/>
        <v/>
      </c>
      <c r="J18" s="238" t="str">
        <f t="shared" si="4"/>
        <v/>
      </c>
      <c r="K18" s="236" t="str">
        <f t="shared" si="5"/>
        <v/>
      </c>
      <c r="L18" s="236" t="str">
        <f t="shared" si="28"/>
        <v/>
      </c>
      <c r="M18" s="252">
        <f t="shared" si="7"/>
        <v>1</v>
      </c>
      <c r="N18" s="239">
        <f ca="1">IF(ISNUMBER(D18),IF(P18=0,OFFSET(TCP!$M$6,0,D18),OFFSET(TCP!$M$6,MIN(M18,P18),MAX(M18,P18))),"")</f>
        <v>0.24</v>
      </c>
      <c r="O18" s="239">
        <f t="shared" si="29"/>
        <v>1</v>
      </c>
      <c r="P18" s="240">
        <f t="shared" si="26"/>
        <v>7</v>
      </c>
      <c r="Q18" s="248">
        <f t="shared" ca="1" si="27"/>
        <v>12.56</v>
      </c>
      <c r="R18" s="258">
        <f t="shared" ca="1" si="9"/>
        <v>0.3966277777777778</v>
      </c>
      <c r="S18" s="246" t="str">
        <f t="shared" ca="1" si="10"/>
        <v>9:31 AM</v>
      </c>
      <c r="T18" s="331" t="str">
        <f ca="1">IF(B18&lt;=$F$4,TEXT(OFFSET(Input!$H$18,M18,0),"H:MM AM/PM"),"")</f>
        <v>8:30 AM</v>
      </c>
      <c r="U18" s="248" t="str">
        <f t="shared" ca="1" si="0"/>
        <v>8:30 AM</v>
      </c>
      <c r="V18" s="1">
        <f t="shared" ca="1" si="11"/>
        <v>2</v>
      </c>
      <c r="W18" s="231" t="str">
        <f t="shared" ca="1" si="12"/>
        <v>8</v>
      </c>
      <c r="X18" s="231" t="str">
        <f t="shared" ca="1" si="13"/>
        <v>30</v>
      </c>
      <c r="Y18" s="1" t="str">
        <f t="shared" ca="1" si="14"/>
        <v>AM</v>
      </c>
      <c r="Z18" s="31">
        <f t="shared" ca="1" si="15"/>
        <v>0</v>
      </c>
      <c r="AA18" s="258" t="str">
        <f t="shared" ca="1" si="16"/>
        <v/>
      </c>
      <c r="AB18" s="256" t="str">
        <f t="shared" ca="1" si="17"/>
        <v/>
      </c>
      <c r="AC18" s="256">
        <f t="shared" ca="1" si="18"/>
        <v>0.35416666666666663</v>
      </c>
      <c r="AD18" s="256" cm="1">
        <f t="array" aca="1" ref="AD18" ca="1">IF(B18&lt;=$F$4,SUM(IF(ISNUMBER(AA18:AC18),AA18:AC18)),"")</f>
        <v>0.35416666666666663</v>
      </c>
      <c r="AE18" s="68">
        <f t="shared" si="19"/>
        <v>1</v>
      </c>
      <c r="AF18" s="260" t="str">
        <f t="shared" ca="1" si="20"/>
        <v>9:31 AM</v>
      </c>
      <c r="AG18" s="260" t="str">
        <f t="shared" ca="1" si="21"/>
        <v>8:30 AM</v>
      </c>
      <c r="AH18" s="257">
        <f t="shared" ca="1" si="22"/>
        <v>0.3966277777777778</v>
      </c>
      <c r="AI18" s="257">
        <f t="shared" ca="1" si="23"/>
        <v>0.35416666666666663</v>
      </c>
      <c r="AJ18" s="1">
        <f t="shared" ca="1" si="24"/>
        <v>1</v>
      </c>
      <c r="AK18" s="260" t="str">
        <f t="shared" ca="1" si="25"/>
        <v>9:31 AM, 8:30 AM, 1</v>
      </c>
    </row>
    <row r="19" spans="1:37" ht="18" x14ac:dyDescent="0.2">
      <c r="A19" s="317">
        <f>IF(B19&lt;=$F$4,Input!D29,"")</f>
        <v>1.25</v>
      </c>
      <c r="B19" s="107">
        <v>11</v>
      </c>
      <c r="C19" s="233">
        <f t="shared" si="1"/>
        <v>1</v>
      </c>
      <c r="D19" s="130">
        <f>+TCP!HL16</f>
        <v>26</v>
      </c>
      <c r="E19" s="394">
        <f>+TCP!HM16</f>
        <v>3.58</v>
      </c>
      <c r="F19" s="237">
        <f t="shared" ca="1" si="2"/>
        <v>1.25</v>
      </c>
      <c r="G19" s="130">
        <v>11</v>
      </c>
      <c r="H19" s="315" t="str">
        <f>IF(ISNUMBER(TCP!HP16),TCP!HP16,"")</f>
        <v/>
      </c>
      <c r="I19" s="237" t="str">
        <f t="shared" si="3"/>
        <v/>
      </c>
      <c r="J19" s="238" t="str">
        <f t="shared" si="4"/>
        <v/>
      </c>
      <c r="K19" s="236" t="str">
        <f t="shared" si="5"/>
        <v/>
      </c>
      <c r="L19" s="236" t="str">
        <f t="shared" si="28"/>
        <v/>
      </c>
      <c r="M19" s="252">
        <f t="shared" si="7"/>
        <v>26</v>
      </c>
      <c r="N19" s="239">
        <f ca="1">IF(ISNUMBER(D19),IF(P19=0,OFFSET(TCP!$M$6,0,D19),OFFSET(TCP!$M$6,MIN(M19,P19),MAX(M19,P19))),"")</f>
        <v>3.58</v>
      </c>
      <c r="O19" s="239">
        <f t="shared" si="29"/>
        <v>1</v>
      </c>
      <c r="P19" s="240">
        <f t="shared" si="26"/>
        <v>1</v>
      </c>
      <c r="Q19" s="248">
        <f t="shared" ca="1" si="27"/>
        <v>16.14</v>
      </c>
      <c r="R19" s="258">
        <f t="shared" ca="1" si="9"/>
        <v>0.40259444444444442</v>
      </c>
      <c r="S19" s="246" t="str">
        <f t="shared" ca="1" si="10"/>
        <v>9:39 AM</v>
      </c>
      <c r="T19" s="331" t="str">
        <f ca="1">IF(B19&lt;=$F$4,TEXT(OFFSET(Input!$H$18,M19,0),"H:MM AM/PM"),"")</f>
        <v>9:00 AM</v>
      </c>
      <c r="U19" s="248" t="str">
        <f t="shared" ca="1" si="0"/>
        <v>9:00 AM</v>
      </c>
      <c r="V19" s="1">
        <f t="shared" ca="1" si="11"/>
        <v>2</v>
      </c>
      <c r="W19" s="231" t="str">
        <f t="shared" ca="1" si="12"/>
        <v>9</v>
      </c>
      <c r="X19" s="231" t="str">
        <f t="shared" ca="1" si="13"/>
        <v>00</v>
      </c>
      <c r="Y19" s="1" t="str">
        <f t="shared" ca="1" si="14"/>
        <v>AM</v>
      </c>
      <c r="Z19" s="31">
        <f t="shared" ca="1" si="15"/>
        <v>0</v>
      </c>
      <c r="AA19" s="258" t="str">
        <f t="shared" ca="1" si="16"/>
        <v/>
      </c>
      <c r="AB19" s="256" t="str">
        <f t="shared" ca="1" si="17"/>
        <v/>
      </c>
      <c r="AC19" s="256">
        <f t="shared" ca="1" si="18"/>
        <v>0.375</v>
      </c>
      <c r="AD19" s="256" cm="1">
        <f t="array" aca="1" ref="AD19" ca="1">IF(B19&lt;=$F$4,SUM(IF(ISNUMBER(AA19:AC19),AA19:AC19)),"")</f>
        <v>0.375</v>
      </c>
      <c r="AE19" s="68">
        <f t="shared" si="19"/>
        <v>26</v>
      </c>
      <c r="AF19" s="260" t="str">
        <f t="shared" ca="1" si="20"/>
        <v>9:39 AM</v>
      </c>
      <c r="AG19" s="260" t="str">
        <f t="shared" ca="1" si="21"/>
        <v>9:00 AM</v>
      </c>
      <c r="AH19" s="257">
        <f t="shared" ca="1" si="22"/>
        <v>0.40259444444444442</v>
      </c>
      <c r="AI19" s="257">
        <f t="shared" ca="1" si="23"/>
        <v>0.375</v>
      </c>
      <c r="AJ19" s="1">
        <f t="shared" ca="1" si="24"/>
        <v>1</v>
      </c>
      <c r="AK19" s="260" t="str">
        <f t="shared" ca="1" si="25"/>
        <v>9:39 AM, 9:00 AM, 1</v>
      </c>
    </row>
    <row r="20" spans="1:37" ht="18" x14ac:dyDescent="0.2">
      <c r="A20" s="317">
        <f>IF(B20&lt;=$F$4,Input!D30,"")</f>
        <v>1.25</v>
      </c>
      <c r="B20" s="107">
        <v>12</v>
      </c>
      <c r="C20" s="233">
        <f t="shared" si="1"/>
        <v>1</v>
      </c>
      <c r="D20" s="130">
        <f>+TCP!HL17</f>
        <v>12</v>
      </c>
      <c r="E20" s="394">
        <f>+TCP!HM17</f>
        <v>1.1599999999999999</v>
      </c>
      <c r="F20" s="237">
        <f t="shared" ca="1" si="2"/>
        <v>1.25</v>
      </c>
      <c r="G20" s="130">
        <v>12</v>
      </c>
      <c r="H20" s="315" t="str">
        <f>IF(ISNUMBER(TCP!HP17),TCP!HP17,"")</f>
        <v/>
      </c>
      <c r="I20" s="237" t="str">
        <f t="shared" si="3"/>
        <v/>
      </c>
      <c r="J20" s="238" t="str">
        <f t="shared" si="4"/>
        <v/>
      </c>
      <c r="K20" s="236" t="str">
        <f t="shared" si="5"/>
        <v/>
      </c>
      <c r="L20" s="236" t="str">
        <f t="shared" si="28"/>
        <v/>
      </c>
      <c r="M20" s="252">
        <f t="shared" si="7"/>
        <v>12</v>
      </c>
      <c r="N20" s="239">
        <f ca="1">IF(ISNUMBER(D20),IF(P20=0,OFFSET(TCP!$M$6,0,D20),OFFSET(TCP!$M$6,MIN(M20,P20),MAX(M20,P20))),"")</f>
        <v>1.1599999999999999</v>
      </c>
      <c r="O20" s="239">
        <f t="shared" si="29"/>
        <v>1</v>
      </c>
      <c r="P20" s="240">
        <f t="shared" si="26"/>
        <v>26</v>
      </c>
      <c r="Q20" s="248">
        <f t="shared" ca="1" si="27"/>
        <v>17.3</v>
      </c>
      <c r="R20" s="258">
        <f t="shared" ca="1" si="9"/>
        <v>0.40452777777777776</v>
      </c>
      <c r="S20" s="246" t="str">
        <f t="shared" ca="1" si="10"/>
        <v>9:42 AM</v>
      </c>
      <c r="T20" s="331" t="str">
        <f ca="1">IF(B20&lt;=$F$4,TEXT(OFFSET(Input!$H$18,M20,0),"H:MM AM/PM"),"")</f>
        <v>8:30 AM</v>
      </c>
      <c r="U20" s="248" t="str">
        <f t="shared" ca="1" si="0"/>
        <v>8:30 AM</v>
      </c>
      <c r="V20" s="1">
        <f t="shared" ca="1" si="11"/>
        <v>2</v>
      </c>
      <c r="W20" s="231" t="str">
        <f t="shared" ca="1" si="12"/>
        <v>8</v>
      </c>
      <c r="X20" s="231" t="str">
        <f t="shared" ca="1" si="13"/>
        <v>30</v>
      </c>
      <c r="Y20" s="1" t="str">
        <f t="shared" ca="1" si="14"/>
        <v>AM</v>
      </c>
      <c r="Z20" s="31">
        <f t="shared" ca="1" si="15"/>
        <v>0</v>
      </c>
      <c r="AA20" s="258" t="str">
        <f t="shared" ca="1" si="16"/>
        <v/>
      </c>
      <c r="AB20" s="256" t="str">
        <f t="shared" ca="1" si="17"/>
        <v/>
      </c>
      <c r="AC20" s="256">
        <f t="shared" ca="1" si="18"/>
        <v>0.35416666666666663</v>
      </c>
      <c r="AD20" s="256" cm="1">
        <f t="array" aca="1" ref="AD20" ca="1">IF(B20&lt;=$F$4,SUM(IF(ISNUMBER(AA20:AC20),AA20:AC20)),"")</f>
        <v>0.35416666666666663</v>
      </c>
      <c r="AE20" s="68">
        <f t="shared" si="19"/>
        <v>12</v>
      </c>
      <c r="AF20" s="260" t="str">
        <f t="shared" ca="1" si="20"/>
        <v>9:42 AM</v>
      </c>
      <c r="AG20" s="260" t="str">
        <f t="shared" ca="1" si="21"/>
        <v>8:30 AM</v>
      </c>
      <c r="AH20" s="257">
        <f t="shared" ca="1" si="22"/>
        <v>0.40452777777777776</v>
      </c>
      <c r="AI20" s="257">
        <f t="shared" ca="1" si="23"/>
        <v>0.35416666666666663</v>
      </c>
      <c r="AJ20" s="1">
        <f t="shared" ca="1" si="24"/>
        <v>1</v>
      </c>
      <c r="AK20" s="260" t="str">
        <f t="shared" ca="1" si="25"/>
        <v>9:42 AM, 8:30 AM, 1</v>
      </c>
    </row>
    <row r="21" spans="1:37" ht="13" customHeight="1" x14ac:dyDescent="0.2">
      <c r="A21" s="317">
        <f>IF(B21&lt;=$F$4,Input!D31,"")</f>
        <v>1.25</v>
      </c>
      <c r="B21" s="107">
        <v>13</v>
      </c>
      <c r="C21" s="233">
        <f t="shared" si="1"/>
        <v>1</v>
      </c>
      <c r="D21" s="130">
        <f>+TCP!HL18</f>
        <v>4</v>
      </c>
      <c r="E21" s="394">
        <f>+TCP!HM18</f>
        <v>2.11</v>
      </c>
      <c r="F21" s="237">
        <f t="shared" ca="1" si="2"/>
        <v>1.25</v>
      </c>
      <c r="G21" s="50">
        <v>13</v>
      </c>
      <c r="H21" s="315" t="str">
        <f>IF(ISNUMBER(TCP!HP18),TCP!HP18,"")</f>
        <v/>
      </c>
      <c r="I21" s="237" t="str">
        <f t="shared" si="3"/>
        <v/>
      </c>
      <c r="J21" s="238" t="str">
        <f t="shared" si="4"/>
        <v/>
      </c>
      <c r="K21" s="236" t="str">
        <f t="shared" si="5"/>
        <v/>
      </c>
      <c r="L21" s="236" t="str">
        <f t="shared" si="28"/>
        <v/>
      </c>
      <c r="M21" s="252">
        <f t="shared" si="7"/>
        <v>4</v>
      </c>
      <c r="N21" s="239">
        <f ca="1">IF(ISNUMBER(D21),IF(P21=0,OFFSET(TCP!$M$6,0,D21),OFFSET(TCP!$M$6,MIN(M21,P21),MAX(M21,P21))),"")</f>
        <v>2.11</v>
      </c>
      <c r="O21" s="239">
        <f t="shared" si="29"/>
        <v>1</v>
      </c>
      <c r="P21" s="240">
        <f t="shared" si="26"/>
        <v>12</v>
      </c>
      <c r="Q21" s="248">
        <f t="shared" ca="1" si="27"/>
        <v>19.41</v>
      </c>
      <c r="R21" s="258">
        <f t="shared" ca="1" si="9"/>
        <v>0.40804444444444443</v>
      </c>
      <c r="S21" s="246" t="str">
        <f t="shared" ca="1" si="10"/>
        <v>9:47 AM</v>
      </c>
      <c r="T21" s="331" t="str">
        <f ca="1">IF(B21&lt;=$F$4,TEXT(OFFSET(Input!$H$18,M21,0),"H:MM AM/PM"),"")</f>
        <v>12:01 AM</v>
      </c>
      <c r="U21" s="248" t="str">
        <f t="shared" ca="1" si="0"/>
        <v>12:01 AM</v>
      </c>
      <c r="V21" s="1">
        <f t="shared" ca="1" si="11"/>
        <v>3</v>
      </c>
      <c r="W21" s="231" t="str">
        <f t="shared" ca="1" si="12"/>
        <v>12</v>
      </c>
      <c r="X21" s="231" t="str">
        <f t="shared" ca="1" si="13"/>
        <v>01</v>
      </c>
      <c r="Y21" s="1" t="str">
        <f t="shared" ca="1" si="14"/>
        <v>AM</v>
      </c>
      <c r="Z21" s="31">
        <f t="shared" ca="1" si="15"/>
        <v>0</v>
      </c>
      <c r="AA21" s="258" t="str">
        <f t="shared" ca="1" si="16"/>
        <v/>
      </c>
      <c r="AB21" s="256">
        <f t="shared" ca="1" si="17"/>
        <v>6.9444444444444447E-4</v>
      </c>
      <c r="AC21" s="256" t="str">
        <f t="shared" ca="1" si="18"/>
        <v/>
      </c>
      <c r="AD21" s="256" cm="1">
        <f t="array" aca="1" ref="AD21" ca="1">IF(B21&lt;=$F$4,SUM(IF(ISNUMBER(AA21:AC21),AA21:AC21)),"")</f>
        <v>6.9444444444444447E-4</v>
      </c>
      <c r="AE21" s="68">
        <f t="shared" si="19"/>
        <v>4</v>
      </c>
      <c r="AF21" s="260" t="str">
        <f t="shared" ca="1" si="20"/>
        <v>9:47 AM</v>
      </c>
      <c r="AG21" s="260" t="str">
        <f t="shared" ca="1" si="21"/>
        <v>12:01 AM</v>
      </c>
      <c r="AH21" s="257">
        <f t="shared" ca="1" si="22"/>
        <v>0.40804444444444443</v>
      </c>
      <c r="AI21" s="257">
        <f t="shared" ca="1" si="23"/>
        <v>6.9444444444444447E-4</v>
      </c>
      <c r="AJ21" s="1">
        <f t="shared" ca="1" si="24"/>
        <v>1</v>
      </c>
      <c r="AK21" s="260" t="str">
        <f t="shared" ca="1" si="25"/>
        <v>9:47 AM, 12:01 AM, 1</v>
      </c>
    </row>
    <row r="22" spans="1:37" ht="18" x14ac:dyDescent="0.2">
      <c r="A22" s="317">
        <f>IF(B22&lt;=$F$4,Input!D32,"")</f>
        <v>1.25</v>
      </c>
      <c r="B22" s="107">
        <v>14</v>
      </c>
      <c r="C22" s="233">
        <f t="shared" si="1"/>
        <v>1</v>
      </c>
      <c r="D22" s="130">
        <f>+TCP!HL19</f>
        <v>27</v>
      </c>
      <c r="E22" s="394">
        <f>+TCP!HM19</f>
        <v>2.0099999999999998</v>
      </c>
      <c r="F22" s="237">
        <f t="shared" ca="1" si="2"/>
        <v>1.25</v>
      </c>
      <c r="G22" s="50">
        <v>14</v>
      </c>
      <c r="H22" s="315" t="str">
        <f>IF(ISNUMBER(TCP!HP19),TCP!HP19,"")</f>
        <v/>
      </c>
      <c r="I22" s="237" t="str">
        <f t="shared" si="3"/>
        <v/>
      </c>
      <c r="J22" s="238" t="str">
        <f t="shared" si="4"/>
        <v/>
      </c>
      <c r="K22" s="236" t="str">
        <f t="shared" si="5"/>
        <v/>
      </c>
      <c r="L22" s="236" t="str">
        <f t="shared" si="28"/>
        <v/>
      </c>
      <c r="M22" s="252">
        <f t="shared" si="7"/>
        <v>27</v>
      </c>
      <c r="N22" s="239">
        <f ca="1">IF(ISNUMBER(D22),IF(P22=0,OFFSET(TCP!$M$6,0,D22),OFFSET(TCP!$M$6,MIN(M22,P22),MAX(M22,P22))),"")</f>
        <v>2.0099999999999998</v>
      </c>
      <c r="O22" s="239">
        <f t="shared" si="29"/>
        <v>1</v>
      </c>
      <c r="P22" s="240">
        <f t="shared" si="26"/>
        <v>4</v>
      </c>
      <c r="Q22" s="248">
        <f t="shared" ca="1" si="27"/>
        <v>21.42</v>
      </c>
      <c r="R22" s="258">
        <f t="shared" ca="1" si="9"/>
        <v>0.41139444444444445</v>
      </c>
      <c r="S22" s="246" t="str">
        <f t="shared" ca="1" si="10"/>
        <v>9:52 AM</v>
      </c>
      <c r="T22" s="331" t="str">
        <f ca="1">IF(B22&lt;=$F$4,TEXT(OFFSET(Input!$H$18,M22,0),"H:MM AM/PM"),"")</f>
        <v>8:00 AM</v>
      </c>
      <c r="U22" s="248" t="str">
        <f t="shared" ca="1" si="0"/>
        <v>8:00 AM</v>
      </c>
      <c r="V22" s="1">
        <f t="shared" ca="1" si="11"/>
        <v>2</v>
      </c>
      <c r="W22" s="231" t="str">
        <f t="shared" ca="1" si="12"/>
        <v>8</v>
      </c>
      <c r="X22" s="231" t="str">
        <f t="shared" ca="1" si="13"/>
        <v>00</v>
      </c>
      <c r="Y22" s="1" t="str">
        <f t="shared" ca="1" si="14"/>
        <v>AM</v>
      </c>
      <c r="Z22" s="31">
        <f t="shared" ca="1" si="15"/>
        <v>0</v>
      </c>
      <c r="AA22" s="258" t="str">
        <f t="shared" ca="1" si="16"/>
        <v/>
      </c>
      <c r="AB22" s="256" t="str">
        <f t="shared" ca="1" si="17"/>
        <v/>
      </c>
      <c r="AC22" s="256">
        <f t="shared" ca="1" si="18"/>
        <v>0.33333333333333331</v>
      </c>
      <c r="AD22" s="256" cm="1">
        <f t="array" aca="1" ref="AD22" ca="1">IF(B22&lt;=$F$4,SUM(IF(ISNUMBER(AA22:AC22),AA22:AC22)),"")</f>
        <v>0.33333333333333331</v>
      </c>
      <c r="AE22" s="68">
        <f t="shared" si="19"/>
        <v>27</v>
      </c>
      <c r="AF22" s="260" t="str">
        <f t="shared" ca="1" si="20"/>
        <v>9:52 AM</v>
      </c>
      <c r="AG22" s="260" t="str">
        <f t="shared" ca="1" si="21"/>
        <v>8:00 AM</v>
      </c>
      <c r="AH22" s="257">
        <f t="shared" ca="1" si="22"/>
        <v>0.41139444444444445</v>
      </c>
      <c r="AI22" s="257">
        <f t="shared" ca="1" si="23"/>
        <v>0.33333333333333331</v>
      </c>
      <c r="AJ22" s="1">
        <f t="shared" ca="1" si="24"/>
        <v>1</v>
      </c>
      <c r="AK22" s="260" t="str">
        <f t="shared" ca="1" si="25"/>
        <v>9:52 AM, 8:00 AM, 1</v>
      </c>
    </row>
    <row r="23" spans="1:37" ht="18" x14ac:dyDescent="0.2">
      <c r="A23" s="317">
        <f>IF(B23&lt;=$F$4,Input!D33,"")</f>
        <v>1.25</v>
      </c>
      <c r="B23" s="107">
        <v>15</v>
      </c>
      <c r="C23" s="233">
        <f t="shared" si="1"/>
        <v>1</v>
      </c>
      <c r="D23" s="130">
        <f>+TCP!HL20</f>
        <v>19</v>
      </c>
      <c r="E23" s="394">
        <f>+TCP!HM20</f>
        <v>0.79</v>
      </c>
      <c r="F23" s="237">
        <f t="shared" ca="1" si="2"/>
        <v>1.25</v>
      </c>
      <c r="G23" s="50">
        <v>15</v>
      </c>
      <c r="H23" s="315" t="str">
        <f>IF(ISNUMBER(TCP!HP20),TCP!HP20,"")</f>
        <v/>
      </c>
      <c r="I23" s="237" t="str">
        <f t="shared" si="3"/>
        <v/>
      </c>
      <c r="J23" s="238" t="str">
        <f t="shared" si="4"/>
        <v/>
      </c>
      <c r="K23" s="236" t="str">
        <f t="shared" si="5"/>
        <v/>
      </c>
      <c r="L23" s="231"/>
      <c r="M23" s="252">
        <f t="shared" si="7"/>
        <v>19</v>
      </c>
      <c r="N23" s="239">
        <f ca="1">IF(ISNUMBER(D23),IF(P23=0,OFFSET(TCP!$M$6,0,D23),OFFSET(TCP!$M$6,MIN(M23,P23),MAX(M23,P23))),"")</f>
        <v>0.79</v>
      </c>
      <c r="O23" s="239">
        <f t="shared" si="29"/>
        <v>1</v>
      </c>
      <c r="P23" s="240">
        <f t="shared" si="26"/>
        <v>27</v>
      </c>
      <c r="Q23" s="248">
        <f t="shared" ca="1" si="27"/>
        <v>22.21</v>
      </c>
      <c r="R23" s="258">
        <f t="shared" ca="1" si="9"/>
        <v>0.41271111111111114</v>
      </c>
      <c r="S23" s="246" t="str">
        <f t="shared" ca="1" si="10"/>
        <v>9:54 AM</v>
      </c>
      <c r="T23" s="331" t="str">
        <f ca="1">IF(B23&lt;=$F$4,TEXT(OFFSET(Input!$H$18,M23,0),"H:MM AM/PM"),"")</f>
        <v>7:30 AM</v>
      </c>
      <c r="U23" s="248" t="str">
        <f t="shared" ca="1" si="0"/>
        <v>7:30 AM</v>
      </c>
      <c r="V23" s="1">
        <f t="shared" ca="1" si="11"/>
        <v>2</v>
      </c>
      <c r="W23" s="231" t="str">
        <f t="shared" ca="1" si="12"/>
        <v>7</v>
      </c>
      <c r="X23" s="231" t="str">
        <f t="shared" ca="1" si="13"/>
        <v>30</v>
      </c>
      <c r="Y23" s="1" t="str">
        <f t="shared" ca="1" si="14"/>
        <v>AM</v>
      </c>
      <c r="Z23" s="31">
        <f t="shared" ca="1" si="15"/>
        <v>0</v>
      </c>
      <c r="AA23" s="258" t="str">
        <f t="shared" ca="1" si="16"/>
        <v/>
      </c>
      <c r="AB23" s="256" t="str">
        <f t="shared" ca="1" si="17"/>
        <v/>
      </c>
      <c r="AC23" s="256">
        <f t="shared" ca="1" si="18"/>
        <v>0.3125</v>
      </c>
      <c r="AD23" s="256" cm="1">
        <f t="array" aca="1" ref="AD23" ca="1">IF(B23&lt;=$F$4,SUM(IF(ISNUMBER(AA23:AC23),AA23:AC23)),"")</f>
        <v>0.3125</v>
      </c>
      <c r="AE23" s="68">
        <f t="shared" si="19"/>
        <v>19</v>
      </c>
      <c r="AF23" s="260" t="str">
        <f t="shared" ca="1" si="20"/>
        <v>9:54 AM</v>
      </c>
      <c r="AG23" s="260" t="str">
        <f t="shared" ca="1" si="21"/>
        <v>7:30 AM</v>
      </c>
      <c r="AH23" s="257">
        <f t="shared" ca="1" si="22"/>
        <v>0.41271111111111114</v>
      </c>
      <c r="AI23" s="257">
        <f t="shared" ca="1" si="23"/>
        <v>0.3125</v>
      </c>
      <c r="AJ23" s="1">
        <f t="shared" ca="1" si="24"/>
        <v>1</v>
      </c>
      <c r="AK23" s="260" t="str">
        <f t="shared" ca="1" si="25"/>
        <v>9:54 AM, 7:30 AM, 1</v>
      </c>
    </row>
    <row r="24" spans="1:37" ht="18" x14ac:dyDescent="0.2">
      <c r="A24" s="317">
        <f>IF(B24&lt;=$F$4,Input!D34,"")</f>
        <v>1.25</v>
      </c>
      <c r="B24" s="107">
        <v>16</v>
      </c>
      <c r="C24" s="233">
        <f t="shared" si="1"/>
        <v>1</v>
      </c>
      <c r="D24" s="130">
        <f>+TCP!HL21</f>
        <v>2</v>
      </c>
      <c r="E24" s="394">
        <f>+TCP!HM21</f>
        <v>0.67</v>
      </c>
      <c r="F24" s="237">
        <f t="shared" ca="1" si="2"/>
        <v>1.25</v>
      </c>
      <c r="G24" s="33"/>
      <c r="H24" s="33"/>
      <c r="I24" s="33"/>
      <c r="J24" s="33"/>
      <c r="M24" s="252">
        <f t="shared" si="7"/>
        <v>2</v>
      </c>
      <c r="N24" s="239">
        <f ca="1">IF(ISNUMBER(D24),IF(P24=0,OFFSET(TCP!$M$6,0,D24),OFFSET(TCP!$M$6,MIN(M24,P24),MAX(M24,P24))),"")</f>
        <v>0.67</v>
      </c>
      <c r="O24" s="239">
        <f t="shared" si="29"/>
        <v>1</v>
      </c>
      <c r="P24" s="240">
        <f t="shared" si="26"/>
        <v>19</v>
      </c>
      <c r="Q24" s="248">
        <f t="shared" ca="1" si="27"/>
        <v>22.880000000000003</v>
      </c>
      <c r="R24" s="258">
        <f t="shared" ca="1" si="9"/>
        <v>0.41382777777777779</v>
      </c>
      <c r="S24" s="246" t="str">
        <f t="shared" ca="1" si="10"/>
        <v>9:55 AM</v>
      </c>
      <c r="T24" s="331" t="str">
        <f ca="1">IF(B24&lt;=$F$4,TEXT(OFFSET(Input!$H$18,M24,0),"H:MM AM/PM"),"")</f>
        <v>9:30 AM</v>
      </c>
      <c r="U24" s="248" t="str">
        <f t="shared" ca="1" si="0"/>
        <v>9:30 AM</v>
      </c>
      <c r="V24" s="1">
        <f t="shared" ca="1" si="11"/>
        <v>2</v>
      </c>
      <c r="W24" s="231" t="str">
        <f t="shared" ca="1" si="12"/>
        <v>9</v>
      </c>
      <c r="X24" s="231" t="str">
        <f t="shared" ca="1" si="13"/>
        <v>30</v>
      </c>
      <c r="Y24" s="1" t="str">
        <f t="shared" ca="1" si="14"/>
        <v>AM</v>
      </c>
      <c r="Z24" s="31">
        <f t="shared" ca="1" si="15"/>
        <v>0</v>
      </c>
      <c r="AA24" s="258" t="str">
        <f t="shared" ca="1" si="16"/>
        <v/>
      </c>
      <c r="AB24" s="256" t="str">
        <f t="shared" ca="1" si="17"/>
        <v/>
      </c>
      <c r="AC24" s="256">
        <f t="shared" ca="1" si="18"/>
        <v>0.39583333333333331</v>
      </c>
      <c r="AD24" s="256" cm="1">
        <f t="array" aca="1" ref="AD24" ca="1">IF(B24&lt;=$F$4,SUM(IF(ISNUMBER(AA24:AC24),AA24:AC24)),"")</f>
        <v>0.39583333333333331</v>
      </c>
      <c r="AE24" s="68">
        <f t="shared" si="19"/>
        <v>2</v>
      </c>
      <c r="AF24" s="260" t="str">
        <f t="shared" ca="1" si="20"/>
        <v>9:55 AM</v>
      </c>
      <c r="AG24" s="260" t="str">
        <f t="shared" ca="1" si="21"/>
        <v>9:30 AM</v>
      </c>
      <c r="AH24" s="257">
        <f t="shared" ca="1" si="22"/>
        <v>0.41382777777777779</v>
      </c>
      <c r="AI24" s="257">
        <f t="shared" ca="1" si="23"/>
        <v>0.39583333333333331</v>
      </c>
      <c r="AJ24" s="1">
        <f t="shared" ca="1" si="24"/>
        <v>1</v>
      </c>
      <c r="AK24" s="260" t="str">
        <f t="shared" ca="1" si="25"/>
        <v>9:55 AM, 9:30 AM, 1</v>
      </c>
    </row>
    <row r="25" spans="1:37" ht="18" x14ac:dyDescent="0.2">
      <c r="A25" s="317">
        <f>IF(B25&lt;=$F$4,Input!D35,"")</f>
        <v>1.25</v>
      </c>
      <c r="B25" s="107">
        <v>17</v>
      </c>
      <c r="C25" s="233">
        <f t="shared" si="1"/>
        <v>1</v>
      </c>
      <c r="D25" s="130">
        <f>+TCP!HL22</f>
        <v>3</v>
      </c>
      <c r="E25" s="394">
        <f>+TCP!HM22</f>
        <v>1.19</v>
      </c>
      <c r="F25" s="237">
        <f t="shared" ca="1" si="2"/>
        <v>1.25</v>
      </c>
      <c r="G25" s="33"/>
      <c r="H25" s="33"/>
      <c r="I25" s="33"/>
      <c r="J25" s="33"/>
      <c r="M25" s="252">
        <f t="shared" si="7"/>
        <v>3</v>
      </c>
      <c r="N25" s="239">
        <f ca="1">IF(ISNUMBER(D25),IF(P25=0,OFFSET(TCP!$M$6,0,D25),OFFSET(TCP!$M$6,MIN(M25,P25),MAX(M25,P25))),"")</f>
        <v>1.19</v>
      </c>
      <c r="O25" s="239">
        <f t="shared" si="29"/>
        <v>1</v>
      </c>
      <c r="P25" s="240">
        <f t="shared" si="26"/>
        <v>2</v>
      </c>
      <c r="Q25" s="248">
        <f t="shared" ca="1" si="27"/>
        <v>24.070000000000004</v>
      </c>
      <c r="R25" s="258">
        <f t="shared" ca="1" si="9"/>
        <v>0.41581111111111113</v>
      </c>
      <c r="S25" s="246" t="str">
        <f t="shared" ca="1" si="10"/>
        <v>9:58 AM</v>
      </c>
      <c r="T25" s="331" t="str">
        <f ca="1">IF(B25&lt;=$F$4,TEXT(OFFSET(Input!$H$18,M25,0),"H:MM AM/PM"),"")</f>
        <v>10:00 AM</v>
      </c>
      <c r="U25" s="248" t="str">
        <f t="shared" ca="1" si="0"/>
        <v>10:00 AM</v>
      </c>
      <c r="V25" s="1">
        <f t="shared" ca="1" si="11"/>
        <v>3</v>
      </c>
      <c r="W25" s="231" t="str">
        <f t="shared" ca="1" si="12"/>
        <v>10</v>
      </c>
      <c r="X25" s="231" t="str">
        <f t="shared" ca="1" si="13"/>
        <v>00</v>
      </c>
      <c r="Y25" s="1" t="str">
        <f t="shared" ca="1" si="14"/>
        <v>AM</v>
      </c>
      <c r="Z25" s="31">
        <f t="shared" ca="1" si="15"/>
        <v>0</v>
      </c>
      <c r="AA25" s="258" t="str">
        <f t="shared" ca="1" si="16"/>
        <v/>
      </c>
      <c r="AB25" s="256" t="str">
        <f t="shared" ca="1" si="17"/>
        <v/>
      </c>
      <c r="AC25" s="256">
        <f t="shared" ca="1" si="18"/>
        <v>0.41666666666666669</v>
      </c>
      <c r="AD25" s="256" cm="1">
        <f t="array" aca="1" ref="AD25" ca="1">IF(B25&lt;=$F$4,SUM(IF(ISNUMBER(AA25:AC25),AA25:AC25)),"")</f>
        <v>0.41666666666666669</v>
      </c>
      <c r="AE25" s="68">
        <f t="shared" si="19"/>
        <v>3</v>
      </c>
      <c r="AF25" s="260" t="str">
        <f t="shared" ca="1" si="20"/>
        <v>9:58 AM</v>
      </c>
      <c r="AG25" s="260" t="str">
        <f t="shared" ca="1" si="21"/>
        <v>10:00 AM</v>
      </c>
      <c r="AH25" s="257">
        <f t="shared" ca="1" si="22"/>
        <v>0.41581111111111113</v>
      </c>
      <c r="AI25" s="257">
        <f t="shared" ca="1" si="23"/>
        <v>0.41666666666666669</v>
      </c>
      <c r="AJ25" s="1">
        <f t="shared" ca="1" si="24"/>
        <v>0</v>
      </c>
      <c r="AK25" s="260" t="str">
        <f t="shared" ca="1" si="25"/>
        <v>9:58 AM, 10:00 AM, 0</v>
      </c>
    </row>
    <row r="26" spans="1:37" ht="18" x14ac:dyDescent="0.2">
      <c r="A26" s="317">
        <f>IF(B26&lt;=$F$4,Input!D36,"")</f>
        <v>1.25</v>
      </c>
      <c r="B26" s="107">
        <v>18</v>
      </c>
      <c r="C26" s="233">
        <f t="shared" si="1"/>
        <v>1</v>
      </c>
      <c r="D26" s="130">
        <f>+TCP!HL23</f>
        <v>31</v>
      </c>
      <c r="E26" s="394">
        <f>+TCP!HM23</f>
        <v>0.45</v>
      </c>
      <c r="F26" s="237">
        <f t="shared" ca="1" si="2"/>
        <v>1.25</v>
      </c>
      <c r="G26" s="33"/>
      <c r="H26" s="33"/>
      <c r="I26" s="33"/>
      <c r="J26" s="235"/>
      <c r="M26" s="252">
        <f t="shared" si="7"/>
        <v>31</v>
      </c>
      <c r="N26" s="239">
        <f ca="1">IF(ISNUMBER(D26),IF(P26=0,OFFSET(TCP!$M$6,0,D26),OFFSET(TCP!$M$6,MIN(M26,P26),MAX(M26,P26))),"")</f>
        <v>0.45</v>
      </c>
      <c r="O26" s="239">
        <f t="shared" si="29"/>
        <v>1</v>
      </c>
      <c r="P26" s="240">
        <f t="shared" si="26"/>
        <v>3</v>
      </c>
      <c r="Q26" s="248">
        <f t="shared" ca="1" si="27"/>
        <v>24.520000000000003</v>
      </c>
      <c r="R26" s="258">
        <f t="shared" ca="1" si="9"/>
        <v>0.4165611111111111</v>
      </c>
      <c r="S26" s="246" t="str">
        <f t="shared" ca="1" si="10"/>
        <v>9:59 AM</v>
      </c>
      <c r="T26" s="331" t="str">
        <f ca="1">IF(B26&lt;=$F$4,TEXT(OFFSET(Input!$H$18,M26,0),"H:MM AM/PM"),"")</f>
        <v>6:00 AM</v>
      </c>
      <c r="U26" s="248" t="str">
        <f t="shared" ca="1" si="0"/>
        <v>6:00 AM</v>
      </c>
      <c r="V26" s="1">
        <f t="shared" ca="1" si="11"/>
        <v>2</v>
      </c>
      <c r="W26" s="231" t="str">
        <f t="shared" ca="1" si="12"/>
        <v>6</v>
      </c>
      <c r="X26" s="231" t="str">
        <f t="shared" ca="1" si="13"/>
        <v>00</v>
      </c>
      <c r="Y26" s="1" t="str">
        <f t="shared" ca="1" si="14"/>
        <v>AM</v>
      </c>
      <c r="Z26" s="31">
        <f t="shared" ca="1" si="15"/>
        <v>0</v>
      </c>
      <c r="AA26" s="258" t="str">
        <f t="shared" ca="1" si="16"/>
        <v/>
      </c>
      <c r="AB26" s="256" t="str">
        <f t="shared" ca="1" si="17"/>
        <v/>
      </c>
      <c r="AC26" s="256">
        <f t="shared" ca="1" si="18"/>
        <v>0.25</v>
      </c>
      <c r="AD26" s="256" cm="1">
        <f t="array" aca="1" ref="AD26" ca="1">IF(B26&lt;=$F$4,SUM(IF(ISNUMBER(AA26:AC26),AA26:AC26)),"")</f>
        <v>0.25</v>
      </c>
      <c r="AE26" s="68">
        <f t="shared" si="19"/>
        <v>31</v>
      </c>
      <c r="AF26" s="260" t="str">
        <f t="shared" ca="1" si="20"/>
        <v>9:59 AM</v>
      </c>
      <c r="AG26" s="260" t="str">
        <f t="shared" ca="1" si="21"/>
        <v>6:00 AM</v>
      </c>
      <c r="AH26" s="257">
        <f t="shared" ca="1" si="22"/>
        <v>0.4165611111111111</v>
      </c>
      <c r="AI26" s="257">
        <f t="shared" ca="1" si="23"/>
        <v>0.25</v>
      </c>
      <c r="AJ26" s="1">
        <f t="shared" ca="1" si="24"/>
        <v>1</v>
      </c>
      <c r="AK26" s="260" t="str">
        <f ca="1">IF(ISNUMBER(AJ26),+AF26&amp;", "&amp;AG26&amp;", "&amp;AJ26,"")</f>
        <v>9:59 AM, 6:00 AM, 1</v>
      </c>
    </row>
    <row r="27" spans="1:37" ht="18" x14ac:dyDescent="0.2">
      <c r="A27" s="317">
        <f>IF(B27&lt;=$F$4,Input!D37,"")</f>
        <v>1.25</v>
      </c>
      <c r="B27" s="107">
        <v>19</v>
      </c>
      <c r="C27" s="233">
        <f t="shared" si="1"/>
        <v>1</v>
      </c>
      <c r="D27" s="130">
        <f>+TCP!HL24</f>
        <v>13</v>
      </c>
      <c r="E27" s="394">
        <f>+TCP!HM24</f>
        <v>0.73</v>
      </c>
      <c r="F27" s="237">
        <f t="shared" ca="1" si="2"/>
        <v>1.25</v>
      </c>
      <c r="G27" s="33"/>
      <c r="H27" s="33"/>
      <c r="I27" s="33"/>
      <c r="J27" s="33"/>
      <c r="M27" s="252">
        <f t="shared" si="7"/>
        <v>13</v>
      </c>
      <c r="N27" s="239">
        <f ca="1">IF(ISNUMBER(D27),IF(P27=0,OFFSET(TCP!$M$6,0,D27),OFFSET(TCP!$M$6,MIN(M27,P27),MAX(M27,P27))),"")</f>
        <v>0.73</v>
      </c>
      <c r="O27" s="239">
        <f t="shared" si="29"/>
        <v>1</v>
      </c>
      <c r="P27" s="240">
        <f t="shared" si="26"/>
        <v>31</v>
      </c>
      <c r="Q27" s="248">
        <f t="shared" ca="1" si="27"/>
        <v>25.250000000000004</v>
      </c>
      <c r="R27" s="258">
        <f t="shared" ca="1" si="9"/>
        <v>0.4177777777777778</v>
      </c>
      <c r="S27" s="246" t="str">
        <f t="shared" ca="1" si="10"/>
        <v>10:01 AM</v>
      </c>
      <c r="T27" s="331" t="str">
        <f ca="1">IF(B27&lt;=$F$4,TEXT(OFFSET(Input!$H$18,M27,0),"H:MM AM/PM"),"")</f>
        <v>6:00 AM</v>
      </c>
      <c r="U27" s="248" t="str">
        <f t="shared" ca="1" si="0"/>
        <v>6:00 AM</v>
      </c>
      <c r="V27" s="1">
        <f t="shared" ca="1" si="11"/>
        <v>2</v>
      </c>
      <c r="W27" s="231" t="str">
        <f t="shared" ca="1" si="12"/>
        <v>6</v>
      </c>
      <c r="X27" s="231" t="str">
        <f t="shared" ca="1" si="13"/>
        <v>00</v>
      </c>
      <c r="Y27" s="1" t="str">
        <f t="shared" ca="1" si="14"/>
        <v>AM</v>
      </c>
      <c r="Z27" s="31">
        <f t="shared" ca="1" si="15"/>
        <v>0</v>
      </c>
      <c r="AA27" s="258" t="str">
        <f t="shared" ca="1" si="16"/>
        <v/>
      </c>
      <c r="AB27" s="256" t="str">
        <f t="shared" ca="1" si="17"/>
        <v/>
      </c>
      <c r="AC27" s="256">
        <f t="shared" ca="1" si="18"/>
        <v>0.25</v>
      </c>
      <c r="AD27" s="256" cm="1">
        <f t="array" aca="1" ref="AD27" ca="1">IF(B27&lt;=$F$4,SUM(IF(ISNUMBER(AA27:AC27),AA27:AC27)),"")</f>
        <v>0.25</v>
      </c>
      <c r="AE27" s="68">
        <f t="shared" si="19"/>
        <v>13</v>
      </c>
      <c r="AF27" s="260" t="str">
        <f t="shared" ca="1" si="20"/>
        <v>10:01 AM</v>
      </c>
      <c r="AG27" s="260" t="str">
        <f t="shared" ca="1" si="21"/>
        <v>6:00 AM</v>
      </c>
      <c r="AH27" s="257">
        <f t="shared" ca="1" si="22"/>
        <v>0.4177777777777778</v>
      </c>
      <c r="AI27" s="257">
        <f t="shared" ca="1" si="23"/>
        <v>0.25</v>
      </c>
      <c r="AJ27" s="1">
        <f t="shared" ca="1" si="24"/>
        <v>1</v>
      </c>
      <c r="AK27" s="260" t="str">
        <f t="shared" ca="1" si="25"/>
        <v>10:01 AM, 6:00 AM, 1</v>
      </c>
    </row>
    <row r="28" spans="1:37" ht="18" x14ac:dyDescent="0.2">
      <c r="A28" s="317">
        <f>IF(B28&lt;=$F$4,Input!D38,"")</f>
        <v>1.25</v>
      </c>
      <c r="B28" s="107">
        <v>20</v>
      </c>
      <c r="C28" s="233">
        <f t="shared" si="1"/>
        <v>1</v>
      </c>
      <c r="D28" s="130">
        <f>+TCP!HL25</f>
        <v>24</v>
      </c>
      <c r="E28" s="394">
        <f>+TCP!HM25</f>
        <v>7.0000000000000007E-2</v>
      </c>
      <c r="F28" s="237">
        <f t="shared" ca="1" si="2"/>
        <v>1.25</v>
      </c>
      <c r="G28" s="33"/>
      <c r="H28" s="33"/>
      <c r="I28" s="33"/>
      <c r="J28" s="33"/>
      <c r="M28" s="252">
        <f t="shared" si="7"/>
        <v>24</v>
      </c>
      <c r="N28" s="239">
        <f ca="1">IF(ISNUMBER(D28),IF(P28=0,OFFSET(TCP!$M$6,0,D28),OFFSET(TCP!$M$6,MIN(M28,P28),MAX(M28,P28))),"")</f>
        <v>7.0000000000000007E-2</v>
      </c>
      <c r="O28" s="239">
        <f t="shared" si="29"/>
        <v>1</v>
      </c>
      <c r="P28" s="240">
        <f t="shared" si="26"/>
        <v>13</v>
      </c>
      <c r="Q28" s="248">
        <f t="shared" ca="1" si="27"/>
        <v>25.320000000000004</v>
      </c>
      <c r="R28" s="258">
        <f t="shared" ca="1" si="9"/>
        <v>0.41789444444444446</v>
      </c>
      <c r="S28" s="246" t="str">
        <f t="shared" ca="1" si="10"/>
        <v>10:01 AM</v>
      </c>
      <c r="T28" s="331" t="str">
        <f ca="1">IF(B28&lt;=$F$4,TEXT(OFFSET(Input!$H$18,M28,0),"H:MM AM/PM"),"")</f>
        <v>9:00 AM</v>
      </c>
      <c r="U28" s="248" t="str">
        <f t="shared" ca="1" si="0"/>
        <v>9:00 AM</v>
      </c>
      <c r="V28" s="1">
        <f t="shared" ca="1" si="11"/>
        <v>2</v>
      </c>
      <c r="W28" s="231" t="str">
        <f t="shared" ca="1" si="12"/>
        <v>9</v>
      </c>
      <c r="X28" s="231" t="str">
        <f t="shared" ca="1" si="13"/>
        <v>00</v>
      </c>
      <c r="Y28" s="1" t="str">
        <f t="shared" ca="1" si="14"/>
        <v>AM</v>
      </c>
      <c r="Z28" s="31">
        <f t="shared" ca="1" si="15"/>
        <v>0</v>
      </c>
      <c r="AA28" s="258" t="str">
        <f t="shared" ca="1" si="16"/>
        <v/>
      </c>
      <c r="AB28" s="256" t="str">
        <f t="shared" ca="1" si="17"/>
        <v/>
      </c>
      <c r="AC28" s="256">
        <f t="shared" ca="1" si="18"/>
        <v>0.375</v>
      </c>
      <c r="AD28" s="256" cm="1">
        <f t="array" aca="1" ref="AD28" ca="1">IF(B28&lt;=$F$4,SUM(IF(ISNUMBER(AA28:AC28),AA28:AC28)),"")</f>
        <v>0.375</v>
      </c>
      <c r="AE28" s="68">
        <f t="shared" si="19"/>
        <v>24</v>
      </c>
      <c r="AF28" s="260" t="str">
        <f t="shared" ca="1" si="20"/>
        <v>10:01 AM</v>
      </c>
      <c r="AG28" s="260" t="str">
        <f t="shared" ca="1" si="21"/>
        <v>9:00 AM</v>
      </c>
      <c r="AH28" s="257">
        <f t="shared" ca="1" si="22"/>
        <v>0.41789444444444446</v>
      </c>
      <c r="AI28" s="257">
        <f t="shared" ca="1" si="23"/>
        <v>0.375</v>
      </c>
      <c r="AJ28" s="1">
        <f t="shared" ca="1" si="24"/>
        <v>1</v>
      </c>
      <c r="AK28" s="260" t="str">
        <f t="shared" ca="1" si="25"/>
        <v>10:01 AM, 9:00 AM, 1</v>
      </c>
    </row>
    <row r="29" spans="1:37" ht="18" x14ac:dyDescent="0.2">
      <c r="A29" s="317">
        <f>IF(B29&lt;=$F$4,Input!D39,"")</f>
        <v>1.25</v>
      </c>
      <c r="B29" s="107">
        <v>21</v>
      </c>
      <c r="C29" s="233">
        <f t="shared" si="1"/>
        <v>1</v>
      </c>
      <c r="D29" s="130">
        <f>+TCP!HL26</f>
        <v>10</v>
      </c>
      <c r="E29" s="394">
        <f>+TCP!HM26</f>
        <v>0.18</v>
      </c>
      <c r="F29" s="237">
        <f t="shared" ca="1" si="2"/>
        <v>1.25</v>
      </c>
      <c r="G29" s="33"/>
      <c r="H29" s="33"/>
      <c r="I29" s="33"/>
      <c r="J29" s="33"/>
      <c r="M29" s="252">
        <f t="shared" si="7"/>
        <v>10</v>
      </c>
      <c r="N29" s="239">
        <f ca="1">IF(ISNUMBER(D29),IF(P29=0,OFFSET(TCP!$M$6,0,D29),OFFSET(TCP!$M$6,MIN(M29,P29),MAX(M29,P29))),"")</f>
        <v>0.18</v>
      </c>
      <c r="O29" s="239">
        <f t="shared" si="29"/>
        <v>1</v>
      </c>
      <c r="P29" s="240">
        <f t="shared" si="26"/>
        <v>24</v>
      </c>
      <c r="Q29" s="248">
        <f t="shared" ca="1" si="27"/>
        <v>25.500000000000004</v>
      </c>
      <c r="R29" s="258">
        <f t="shared" ca="1" si="9"/>
        <v>0.41819444444444442</v>
      </c>
      <c r="S29" s="246" t="str">
        <f t="shared" ca="1" si="10"/>
        <v>10:02 AM</v>
      </c>
      <c r="T29" s="331" t="str">
        <f ca="1">IF(B29&lt;=$F$4,TEXT(OFFSET(Input!$H$18,M29,0),"H:MM AM/PM"),"")</f>
        <v>6:00 AM</v>
      </c>
      <c r="U29" s="248" t="str">
        <f t="shared" ca="1" si="0"/>
        <v>6:00 AM</v>
      </c>
      <c r="V29" s="1">
        <f t="shared" ca="1" si="11"/>
        <v>2</v>
      </c>
      <c r="W29" s="231" t="str">
        <f t="shared" ca="1" si="12"/>
        <v>6</v>
      </c>
      <c r="X29" s="231" t="str">
        <f t="shared" ca="1" si="13"/>
        <v>00</v>
      </c>
      <c r="Y29" s="1" t="str">
        <f t="shared" ca="1" si="14"/>
        <v>AM</v>
      </c>
      <c r="Z29" s="31">
        <f t="shared" ca="1" si="15"/>
        <v>0</v>
      </c>
      <c r="AA29" s="258" t="str">
        <f t="shared" ca="1" si="16"/>
        <v/>
      </c>
      <c r="AB29" s="256" t="str">
        <f t="shared" ca="1" si="17"/>
        <v/>
      </c>
      <c r="AC29" s="256">
        <f t="shared" ca="1" si="18"/>
        <v>0.25</v>
      </c>
      <c r="AD29" s="256" cm="1">
        <f t="array" aca="1" ref="AD29" ca="1">IF(B29&lt;=$F$4,SUM(IF(ISNUMBER(AA29:AC29),AA29:AC29)),"")</f>
        <v>0.25</v>
      </c>
      <c r="AE29" s="68">
        <f t="shared" si="19"/>
        <v>10</v>
      </c>
      <c r="AF29" s="260" t="str">
        <f t="shared" ca="1" si="20"/>
        <v>10:02 AM</v>
      </c>
      <c r="AG29" s="260" t="str">
        <f t="shared" ca="1" si="21"/>
        <v>6:00 AM</v>
      </c>
      <c r="AH29" s="257">
        <f t="shared" ca="1" si="22"/>
        <v>0.41819444444444442</v>
      </c>
      <c r="AI29" s="257">
        <f t="shared" ca="1" si="23"/>
        <v>0.25</v>
      </c>
      <c r="AJ29" s="1">
        <f t="shared" ca="1" si="24"/>
        <v>1</v>
      </c>
      <c r="AK29" s="260" t="str">
        <f t="shared" ca="1" si="25"/>
        <v>10:02 AM, 6:00 AM, 1</v>
      </c>
    </row>
    <row r="30" spans="1:37" ht="18" x14ac:dyDescent="0.2">
      <c r="A30" s="317">
        <f>IF(B30&lt;=$F$4,Input!D40,"")</f>
        <v>1.25</v>
      </c>
      <c r="B30" s="107">
        <v>22</v>
      </c>
      <c r="C30" s="233">
        <f t="shared" si="1"/>
        <v>1</v>
      </c>
      <c r="D30" s="130">
        <f>+TCP!HL27</f>
        <v>9</v>
      </c>
      <c r="E30" s="394">
        <f>+TCP!HM27</f>
        <v>0.05</v>
      </c>
      <c r="F30" s="237">
        <f t="shared" ca="1" si="2"/>
        <v>1.25</v>
      </c>
      <c r="G30" s="33"/>
      <c r="H30" s="33"/>
      <c r="I30" s="33"/>
      <c r="J30" s="33"/>
      <c r="M30" s="252">
        <f t="shared" si="7"/>
        <v>9</v>
      </c>
      <c r="N30" s="239">
        <f ca="1">IF(ISNUMBER(D30),IF(P30=0,OFFSET(TCP!$M$6,0,D30),OFFSET(TCP!$M$6,MIN(M30,P30),MAX(M30,P30))),"")</f>
        <v>0.05</v>
      </c>
      <c r="O30" s="239">
        <f t="shared" si="29"/>
        <v>1</v>
      </c>
      <c r="P30" s="240">
        <f t="shared" si="26"/>
        <v>10</v>
      </c>
      <c r="Q30" s="248">
        <f t="shared" ca="1" si="27"/>
        <v>25.550000000000004</v>
      </c>
      <c r="R30" s="258">
        <f t="shared" ca="1" si="9"/>
        <v>0.4182777777777778</v>
      </c>
      <c r="S30" s="246" t="str">
        <f t="shared" ca="1" si="10"/>
        <v>10:02 AM</v>
      </c>
      <c r="T30" s="331" t="str">
        <f ca="1">IF(B30&lt;=$F$4,TEXT(OFFSET(Input!$H$18,M30,0),"H:MM AM/PM"),"")</f>
        <v>9:00 AM</v>
      </c>
      <c r="U30" s="248" t="str">
        <f t="shared" ca="1" si="0"/>
        <v>9:00 AM</v>
      </c>
      <c r="V30" s="1">
        <f t="shared" ca="1" si="11"/>
        <v>2</v>
      </c>
      <c r="W30" s="231" t="str">
        <f t="shared" ca="1" si="12"/>
        <v>9</v>
      </c>
      <c r="X30" s="231" t="str">
        <f t="shared" ca="1" si="13"/>
        <v>00</v>
      </c>
      <c r="Y30" s="1" t="str">
        <f t="shared" ca="1" si="14"/>
        <v>AM</v>
      </c>
      <c r="Z30" s="31">
        <f t="shared" ca="1" si="15"/>
        <v>0</v>
      </c>
      <c r="AA30" s="258" t="str">
        <f t="shared" ca="1" si="16"/>
        <v/>
      </c>
      <c r="AB30" s="256" t="str">
        <f t="shared" ca="1" si="17"/>
        <v/>
      </c>
      <c r="AC30" s="256">
        <f t="shared" ca="1" si="18"/>
        <v>0.375</v>
      </c>
      <c r="AD30" s="256" cm="1">
        <f t="array" aca="1" ref="AD30" ca="1">IF(B30&lt;=$F$4,SUM(IF(ISNUMBER(AA30:AC30),AA30:AC30)),"")</f>
        <v>0.375</v>
      </c>
      <c r="AE30" s="68">
        <f t="shared" si="19"/>
        <v>9</v>
      </c>
      <c r="AF30" s="260" t="str">
        <f t="shared" ca="1" si="20"/>
        <v>10:02 AM</v>
      </c>
      <c r="AG30" s="260" t="str">
        <f t="shared" ca="1" si="21"/>
        <v>9:00 AM</v>
      </c>
      <c r="AH30" s="257">
        <f t="shared" ca="1" si="22"/>
        <v>0.4182777777777778</v>
      </c>
      <c r="AI30" s="257">
        <f t="shared" ca="1" si="23"/>
        <v>0.375</v>
      </c>
      <c r="AJ30" s="1">
        <f t="shared" ca="1" si="24"/>
        <v>1</v>
      </c>
      <c r="AK30" s="260" t="str">
        <f t="shared" ca="1" si="25"/>
        <v>10:02 AM, 9:00 AM, 1</v>
      </c>
    </row>
    <row r="31" spans="1:37" ht="18" x14ac:dyDescent="0.2">
      <c r="A31" s="317">
        <f>IF(B31&lt;=$F$4,Input!D41,"")</f>
        <v>1.25</v>
      </c>
      <c r="B31" s="107">
        <v>23</v>
      </c>
      <c r="C31" s="233">
        <f t="shared" si="1"/>
        <v>1</v>
      </c>
      <c r="D31" s="130">
        <f>+TCP!HL28</f>
        <v>5</v>
      </c>
      <c r="E31" s="394">
        <f>+TCP!HM28</f>
        <v>0.36</v>
      </c>
      <c r="F31" s="237">
        <f t="shared" ca="1" si="2"/>
        <v>1.25</v>
      </c>
      <c r="G31" s="33"/>
      <c r="H31" s="33"/>
      <c r="I31" s="33"/>
      <c r="J31" s="33"/>
      <c r="M31" s="252">
        <f t="shared" si="7"/>
        <v>5</v>
      </c>
      <c r="N31" s="239">
        <f ca="1">IF(ISNUMBER(D31),IF(P31=0,OFFSET(TCP!$M$6,0,D31),OFFSET(TCP!$M$6,MIN(M31,P31),MAX(M31,P31))),"")</f>
        <v>0.36</v>
      </c>
      <c r="O31" s="239">
        <f t="shared" si="29"/>
        <v>1</v>
      </c>
      <c r="P31" s="240">
        <f t="shared" si="26"/>
        <v>9</v>
      </c>
      <c r="Q31" s="248">
        <f t="shared" ca="1" si="27"/>
        <v>25.910000000000004</v>
      </c>
      <c r="R31" s="258">
        <f t="shared" ca="1" si="9"/>
        <v>0.41887777777777779</v>
      </c>
      <c r="S31" s="246" t="str">
        <f t="shared" ca="1" si="10"/>
        <v>10:03 AM</v>
      </c>
      <c r="T31" s="331" t="str">
        <f ca="1">IF(B31&lt;=$F$4,TEXT(OFFSET(Input!$H$18,M31,0),"H:MM AM/PM"),"")</f>
        <v>10:00 AM</v>
      </c>
      <c r="U31" s="248" t="str">
        <f t="shared" ca="1" si="0"/>
        <v>10:00 AM</v>
      </c>
      <c r="V31" s="1">
        <f t="shared" ca="1" si="11"/>
        <v>3</v>
      </c>
      <c r="W31" s="231" t="str">
        <f t="shared" ca="1" si="12"/>
        <v>10</v>
      </c>
      <c r="X31" s="231" t="str">
        <f t="shared" ca="1" si="13"/>
        <v>00</v>
      </c>
      <c r="Y31" s="1" t="str">
        <f t="shared" ca="1" si="14"/>
        <v>AM</v>
      </c>
      <c r="Z31" s="31">
        <f t="shared" ca="1" si="15"/>
        <v>0</v>
      </c>
      <c r="AA31" s="258" t="str">
        <f t="shared" ca="1" si="16"/>
        <v/>
      </c>
      <c r="AB31" s="256" t="str">
        <f t="shared" ca="1" si="17"/>
        <v/>
      </c>
      <c r="AC31" s="256">
        <f t="shared" ca="1" si="18"/>
        <v>0.41666666666666669</v>
      </c>
      <c r="AD31" s="256" cm="1">
        <f t="array" aca="1" ref="AD31" ca="1">IF(B31&lt;=$F$4,SUM(IF(ISNUMBER(AA31:AC31),AA31:AC31)),"")</f>
        <v>0.41666666666666669</v>
      </c>
      <c r="AE31" s="68">
        <f t="shared" si="19"/>
        <v>5</v>
      </c>
      <c r="AF31" s="260" t="str">
        <f t="shared" ca="1" si="20"/>
        <v>10:03 AM</v>
      </c>
      <c r="AG31" s="260" t="str">
        <f t="shared" ca="1" si="21"/>
        <v>10:00 AM</v>
      </c>
      <c r="AH31" s="257">
        <f t="shared" ca="1" si="22"/>
        <v>0.41887777777777779</v>
      </c>
      <c r="AI31" s="257">
        <f t="shared" ca="1" si="23"/>
        <v>0.41666666666666669</v>
      </c>
      <c r="AJ31" s="1">
        <f t="shared" ca="1" si="24"/>
        <v>1</v>
      </c>
      <c r="AK31" s="260" t="str">
        <f t="shared" ca="1" si="25"/>
        <v>10:03 AM, 10:00 AM, 1</v>
      </c>
    </row>
    <row r="32" spans="1:37" ht="18" x14ac:dyDescent="0.2">
      <c r="A32" s="317">
        <f>IF(B32&lt;=$F$4,Input!D42,"")</f>
        <v>1.25</v>
      </c>
      <c r="B32" s="107">
        <v>24</v>
      </c>
      <c r="C32" s="233">
        <f t="shared" si="1"/>
        <v>1</v>
      </c>
      <c r="D32" s="130">
        <f>+TCP!HL29</f>
        <v>8</v>
      </c>
      <c r="E32" s="394">
        <f>+TCP!HM29</f>
        <v>0.28000000000000003</v>
      </c>
      <c r="F32" s="237">
        <f t="shared" ca="1" si="2"/>
        <v>1.25</v>
      </c>
      <c r="G32" s="33"/>
      <c r="H32" s="33"/>
      <c r="I32" s="33"/>
      <c r="J32" s="33"/>
      <c r="M32" s="252">
        <f t="shared" si="7"/>
        <v>8</v>
      </c>
      <c r="N32" s="239">
        <f ca="1">IF(ISNUMBER(D32),IF(P32=0,OFFSET(TCP!$M$6,0,D32),OFFSET(TCP!$M$6,MIN(M32,P32),MAX(M32,P32))),"")</f>
        <v>0.28000000000000003</v>
      </c>
      <c r="O32" s="239">
        <f t="shared" si="29"/>
        <v>1</v>
      </c>
      <c r="P32" s="240">
        <f t="shared" si="26"/>
        <v>5</v>
      </c>
      <c r="Q32" s="248">
        <f t="shared" ca="1" si="27"/>
        <v>26.190000000000005</v>
      </c>
      <c r="R32" s="258">
        <f t="shared" ca="1" si="9"/>
        <v>0.41934444444444446</v>
      </c>
      <c r="S32" s="246" t="str">
        <f t="shared" ca="1" si="10"/>
        <v>10:03 AM</v>
      </c>
      <c r="T32" s="331" t="str">
        <f ca="1">IF(B32&lt;=$F$4,TEXT(OFFSET(Input!$H$18,M32,0),"H:MM AM/PM"),"")</f>
        <v>7:00 AM</v>
      </c>
      <c r="U32" s="248" t="str">
        <f t="shared" ca="1" si="0"/>
        <v>7:00 AM</v>
      </c>
      <c r="V32" s="1">
        <f t="shared" ca="1" si="11"/>
        <v>2</v>
      </c>
      <c r="W32" s="231" t="str">
        <f t="shared" ca="1" si="12"/>
        <v>7</v>
      </c>
      <c r="X32" s="231" t="str">
        <f t="shared" ca="1" si="13"/>
        <v>00</v>
      </c>
      <c r="Y32" s="1" t="str">
        <f t="shared" ca="1" si="14"/>
        <v>AM</v>
      </c>
      <c r="Z32" s="31">
        <f t="shared" ca="1" si="15"/>
        <v>0</v>
      </c>
      <c r="AA32" s="258" t="str">
        <f t="shared" ca="1" si="16"/>
        <v/>
      </c>
      <c r="AB32" s="256" t="str">
        <f t="shared" ca="1" si="17"/>
        <v/>
      </c>
      <c r="AC32" s="256">
        <f t="shared" ca="1" si="18"/>
        <v>0.29166666666666669</v>
      </c>
      <c r="AD32" s="256" cm="1">
        <f t="array" aca="1" ref="AD32" ca="1">IF(B32&lt;=$F$4,SUM(IF(ISNUMBER(AA32:AC32),AA32:AC32)),"")</f>
        <v>0.29166666666666669</v>
      </c>
      <c r="AE32" s="68">
        <f t="shared" si="19"/>
        <v>8</v>
      </c>
      <c r="AF32" s="260" t="str">
        <f t="shared" ca="1" si="20"/>
        <v>10:03 AM</v>
      </c>
      <c r="AG32" s="260" t="str">
        <f t="shared" ca="1" si="21"/>
        <v>7:00 AM</v>
      </c>
      <c r="AH32" s="257">
        <f t="shared" ca="1" si="22"/>
        <v>0.41934444444444446</v>
      </c>
      <c r="AI32" s="257">
        <f t="shared" ca="1" si="23"/>
        <v>0.29166666666666669</v>
      </c>
      <c r="AJ32" s="1">
        <f t="shared" ca="1" si="24"/>
        <v>1</v>
      </c>
      <c r="AK32" s="260" t="str">
        <f t="shared" ca="1" si="25"/>
        <v>10:03 AM, 7:00 AM, 1</v>
      </c>
    </row>
    <row r="33" spans="1:37" ht="18" x14ac:dyDescent="0.2">
      <c r="A33" s="317">
        <f>IF(B33&lt;=$F$4,Input!D43,"")</f>
        <v>1.25</v>
      </c>
      <c r="B33" s="107">
        <v>25</v>
      </c>
      <c r="C33" s="233">
        <f t="shared" si="1"/>
        <v>1</v>
      </c>
      <c r="D33" s="130">
        <f>+TCP!HL30</f>
        <v>25</v>
      </c>
      <c r="E33" s="394">
        <f>+TCP!HM30</f>
        <v>0.19</v>
      </c>
      <c r="F33" s="237">
        <f t="shared" ca="1" si="2"/>
        <v>1.25</v>
      </c>
      <c r="G33" s="33"/>
      <c r="H33" s="33"/>
      <c r="I33" s="33"/>
      <c r="J33" s="33"/>
      <c r="M33" s="252">
        <f t="shared" si="7"/>
        <v>25</v>
      </c>
      <c r="N33" s="239">
        <f ca="1">IF(ISNUMBER(D33),IF(P33=0,OFFSET(TCP!$M$6,0,D33),OFFSET(TCP!$M$6,MIN(M33,P33),MAX(M33,P33))),"")</f>
        <v>0.19</v>
      </c>
      <c r="O33" s="239">
        <f t="shared" si="29"/>
        <v>1</v>
      </c>
      <c r="P33" s="240">
        <f t="shared" si="26"/>
        <v>8</v>
      </c>
      <c r="Q33" s="248">
        <f t="shared" ca="1" si="27"/>
        <v>26.380000000000006</v>
      </c>
      <c r="R33" s="258">
        <f t="shared" ca="1" si="9"/>
        <v>0.4196611111111111</v>
      </c>
      <c r="S33" s="246" t="str">
        <f t="shared" ca="1" si="10"/>
        <v>10:04 AM</v>
      </c>
      <c r="T33" s="331" t="str">
        <f ca="1">IF(B33&lt;=$F$4,TEXT(OFFSET(Input!$H$18,M33,0),"H:MM AM/PM"),"")</f>
        <v>8:00 AM</v>
      </c>
      <c r="U33" s="248" t="str">
        <f t="shared" ca="1" si="0"/>
        <v>8:00 AM</v>
      </c>
      <c r="V33" s="1">
        <f t="shared" ca="1" si="11"/>
        <v>2</v>
      </c>
      <c r="W33" s="231" t="str">
        <f t="shared" ca="1" si="12"/>
        <v>8</v>
      </c>
      <c r="X33" s="231" t="str">
        <f t="shared" ca="1" si="13"/>
        <v>00</v>
      </c>
      <c r="Y33" s="1" t="str">
        <f t="shared" ca="1" si="14"/>
        <v>AM</v>
      </c>
      <c r="Z33" s="31">
        <f t="shared" ca="1" si="15"/>
        <v>0</v>
      </c>
      <c r="AA33" s="258" t="str">
        <f t="shared" ca="1" si="16"/>
        <v/>
      </c>
      <c r="AB33" s="256" t="str">
        <f t="shared" ca="1" si="17"/>
        <v/>
      </c>
      <c r="AC33" s="256">
        <f t="shared" ca="1" si="18"/>
        <v>0.33333333333333331</v>
      </c>
      <c r="AD33" s="256" cm="1">
        <f t="array" aca="1" ref="AD33" ca="1">IF(B33&lt;=$F$4,SUM(IF(ISNUMBER(AA33:AC33),AA33:AC33)),"")</f>
        <v>0.33333333333333331</v>
      </c>
      <c r="AE33" s="68">
        <f t="shared" si="19"/>
        <v>25</v>
      </c>
      <c r="AF33" s="260" t="str">
        <f t="shared" ca="1" si="20"/>
        <v>10:04 AM</v>
      </c>
      <c r="AG33" s="260" t="str">
        <f t="shared" ca="1" si="21"/>
        <v>8:00 AM</v>
      </c>
      <c r="AH33" s="257">
        <f t="shared" ca="1" si="22"/>
        <v>0.4196611111111111</v>
      </c>
      <c r="AI33" s="257">
        <f t="shared" ca="1" si="23"/>
        <v>0.33333333333333331</v>
      </c>
      <c r="AJ33" s="1">
        <f t="shared" ca="1" si="24"/>
        <v>1</v>
      </c>
      <c r="AK33" s="260" t="str">
        <f t="shared" ca="1" si="25"/>
        <v>10:04 AM, 8:00 AM, 1</v>
      </c>
    </row>
    <row r="34" spans="1:37" ht="18" x14ac:dyDescent="0.2">
      <c r="A34" s="317">
        <f>IF(B34&lt;=$F$4,Input!D44,"")</f>
        <v>1.25</v>
      </c>
      <c r="B34" s="107">
        <v>26</v>
      </c>
      <c r="C34" s="233">
        <f t="shared" si="1"/>
        <v>1</v>
      </c>
      <c r="D34" s="130">
        <f>+TCP!HL31</f>
        <v>11</v>
      </c>
      <c r="E34" s="394">
        <f>+TCP!HM31</f>
        <v>1.1599999999999999</v>
      </c>
      <c r="F34" s="237">
        <f t="shared" ca="1" si="2"/>
        <v>1.25</v>
      </c>
      <c r="G34" s="33"/>
      <c r="H34" s="33"/>
      <c r="I34" s="33"/>
      <c r="J34" s="33"/>
      <c r="M34" s="252">
        <f t="shared" si="7"/>
        <v>11</v>
      </c>
      <c r="N34" s="239">
        <f ca="1">IF(ISNUMBER(D34),IF(P34=0,OFFSET(TCP!$M$6,0,D34),OFFSET(TCP!$M$6,MIN(M34,P34),MAX(M34,P34))),"")</f>
        <v>1.1599999999999999</v>
      </c>
      <c r="O34" s="239">
        <f t="shared" si="29"/>
        <v>1</v>
      </c>
      <c r="P34" s="240">
        <f t="shared" si="26"/>
        <v>25</v>
      </c>
      <c r="Q34" s="248">
        <f t="shared" ca="1" si="27"/>
        <v>27.540000000000006</v>
      </c>
      <c r="R34" s="258">
        <f t="shared" ca="1" si="9"/>
        <v>0.42159444444444444</v>
      </c>
      <c r="S34" s="246" t="str">
        <f t="shared" ca="1" si="10"/>
        <v>10:07 AM</v>
      </c>
      <c r="T34" s="331" t="str">
        <f ca="1">IF(B34&lt;=$F$4,TEXT(OFFSET(Input!$H$18,M34,0),"H:MM AM/PM"),"")</f>
        <v>10:00 AM</v>
      </c>
      <c r="U34" s="248" t="str">
        <f t="shared" ca="1" si="0"/>
        <v>10:00 AM</v>
      </c>
      <c r="V34" s="1">
        <f t="shared" ca="1" si="11"/>
        <v>3</v>
      </c>
      <c r="W34" s="231" t="str">
        <f t="shared" ca="1" si="12"/>
        <v>10</v>
      </c>
      <c r="X34" s="231" t="str">
        <f t="shared" ca="1" si="13"/>
        <v>00</v>
      </c>
      <c r="Y34" s="1" t="str">
        <f t="shared" ca="1" si="14"/>
        <v>AM</v>
      </c>
      <c r="Z34" s="31">
        <f t="shared" ca="1" si="15"/>
        <v>0</v>
      </c>
      <c r="AA34" s="258" t="str">
        <f t="shared" ca="1" si="16"/>
        <v/>
      </c>
      <c r="AB34" s="256" t="str">
        <f t="shared" ca="1" si="17"/>
        <v/>
      </c>
      <c r="AC34" s="256">
        <f t="shared" ca="1" si="18"/>
        <v>0.41666666666666669</v>
      </c>
      <c r="AD34" s="256" cm="1">
        <f t="array" aca="1" ref="AD34" ca="1">IF(B34&lt;=$F$4,SUM(IF(ISNUMBER(AA34:AC34),AA34:AC34)),"")</f>
        <v>0.41666666666666669</v>
      </c>
      <c r="AE34" s="68">
        <f t="shared" si="19"/>
        <v>11</v>
      </c>
      <c r="AF34" s="260" t="str">
        <f t="shared" ca="1" si="20"/>
        <v>10:07 AM</v>
      </c>
      <c r="AG34" s="260" t="str">
        <f t="shared" ca="1" si="21"/>
        <v>10:00 AM</v>
      </c>
      <c r="AH34" s="257">
        <f t="shared" ca="1" si="22"/>
        <v>0.42159444444444444</v>
      </c>
      <c r="AI34" s="257">
        <f t="shared" ca="1" si="23"/>
        <v>0.41666666666666669</v>
      </c>
      <c r="AJ34" s="1">
        <f t="shared" ca="1" si="24"/>
        <v>1</v>
      </c>
      <c r="AK34" s="260" t="str">
        <f t="shared" ca="1" si="25"/>
        <v>10:07 AM, 10:00 AM, 1</v>
      </c>
    </row>
    <row r="35" spans="1:37" ht="18" x14ac:dyDescent="0.2">
      <c r="A35" s="317">
        <f>IF(B35&lt;=$F$4,Input!D45,"")</f>
        <v>1.25</v>
      </c>
      <c r="B35" s="107">
        <v>27</v>
      </c>
      <c r="C35" s="233">
        <f t="shared" si="1"/>
        <v>1</v>
      </c>
      <c r="D35" s="130">
        <f>+TCP!HL32</f>
        <v>20</v>
      </c>
      <c r="E35" s="394">
        <f>+TCP!HM32</f>
        <v>5.8100000000000005</v>
      </c>
      <c r="F35" s="237">
        <f t="shared" ca="1" si="2"/>
        <v>1.25</v>
      </c>
      <c r="G35" s="33"/>
      <c r="H35" s="33"/>
      <c r="I35" s="33"/>
      <c r="J35" s="33"/>
      <c r="M35" s="252">
        <f t="shared" si="7"/>
        <v>20</v>
      </c>
      <c r="N35" s="239">
        <f ca="1">IF(ISNUMBER(D35),IF(P35=0,OFFSET(TCP!$M$6,0,D35),OFFSET(TCP!$M$6,MIN(M35,P35),MAX(M35,P35))),"")</f>
        <v>4.6100000000000003</v>
      </c>
      <c r="O35" s="239">
        <f t="shared" si="29"/>
        <v>1</v>
      </c>
      <c r="P35" s="240">
        <f t="shared" si="26"/>
        <v>11</v>
      </c>
      <c r="Q35" s="248">
        <f t="shared" ca="1" si="27"/>
        <v>32.150000000000006</v>
      </c>
      <c r="R35" s="258">
        <f t="shared" ca="1" si="9"/>
        <v>0.42927777777777776</v>
      </c>
      <c r="S35" s="246" t="str">
        <f t="shared" ca="1" si="10"/>
        <v>10:18 AM</v>
      </c>
      <c r="T35" s="331" t="str">
        <f ca="1">IF(B35&lt;=$F$4,TEXT(OFFSET(Input!$H$18,M35,0),"H:MM AM/PM"),"")</f>
        <v>9:00 AM</v>
      </c>
      <c r="U35" s="248" t="str">
        <f t="shared" ca="1" si="0"/>
        <v>9:00 AM</v>
      </c>
      <c r="V35" s="1">
        <f t="shared" ca="1" si="11"/>
        <v>2</v>
      </c>
      <c r="W35" s="231" t="str">
        <f t="shared" ca="1" si="12"/>
        <v>9</v>
      </c>
      <c r="X35" s="231" t="str">
        <f t="shared" ca="1" si="13"/>
        <v>00</v>
      </c>
      <c r="Y35" s="1" t="str">
        <f t="shared" ca="1" si="14"/>
        <v>AM</v>
      </c>
      <c r="Z35" s="31">
        <f t="shared" ca="1" si="15"/>
        <v>0</v>
      </c>
      <c r="AA35" s="258" t="str">
        <f t="shared" ca="1" si="16"/>
        <v/>
      </c>
      <c r="AB35" s="256" t="str">
        <f t="shared" ca="1" si="17"/>
        <v/>
      </c>
      <c r="AC35" s="256">
        <f t="shared" ca="1" si="18"/>
        <v>0.375</v>
      </c>
      <c r="AD35" s="256" cm="1">
        <f t="array" aca="1" ref="AD35" ca="1">IF(B35&lt;=$F$4,SUM(IF(ISNUMBER(AA35:AC35),AA35:AC35)),"")</f>
        <v>0.375</v>
      </c>
      <c r="AE35" s="68">
        <f t="shared" si="19"/>
        <v>20</v>
      </c>
      <c r="AF35" s="260" t="str">
        <f t="shared" ca="1" si="20"/>
        <v>10:18 AM</v>
      </c>
      <c r="AG35" s="260" t="str">
        <f t="shared" ca="1" si="21"/>
        <v>9:00 AM</v>
      </c>
      <c r="AH35" s="257">
        <f t="shared" ca="1" si="22"/>
        <v>0.42927777777777776</v>
      </c>
      <c r="AI35" s="257">
        <f t="shared" ca="1" si="23"/>
        <v>0.375</v>
      </c>
      <c r="AJ35" s="1">
        <f t="shared" ca="1" si="24"/>
        <v>1</v>
      </c>
      <c r="AK35" s="260" t="str">
        <f t="shared" ca="1" si="25"/>
        <v>10:18 AM, 9:00 AM, 1</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48" t="s">
        <v>153</v>
      </c>
      <c r="B1" s="549"/>
      <c r="C1" s="549"/>
      <c r="D1" s="549"/>
      <c r="E1" s="549"/>
      <c r="F1" s="549"/>
      <c r="G1" s="549"/>
      <c r="H1" s="550"/>
      <c r="I1" s="296"/>
      <c r="J1" s="296"/>
      <c r="K1" s="40"/>
      <c r="L1" s="546"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1"/>
      <c r="B2" s="552"/>
      <c r="C2" s="552"/>
      <c r="D2" s="552"/>
      <c r="E2" s="552"/>
      <c r="F2" s="552"/>
      <c r="G2" s="552"/>
      <c r="H2" s="553"/>
      <c r="I2" s="296"/>
      <c r="J2" s="296"/>
      <c r="K2" s="40"/>
      <c r="L2" s="547"/>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1"/>
      <c r="B3" s="552"/>
      <c r="C3" s="552"/>
      <c r="D3" s="552"/>
      <c r="E3" s="552"/>
      <c r="F3" s="552"/>
      <c r="G3" s="552"/>
      <c r="H3" s="553"/>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1"/>
      <c r="B4" s="552"/>
      <c r="C4" s="552"/>
      <c r="D4" s="552"/>
      <c r="E4" s="552"/>
      <c r="F4" s="552"/>
      <c r="G4" s="552"/>
      <c r="H4" s="553"/>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4"/>
      <c r="B5" s="555"/>
      <c r="C5" s="555"/>
      <c r="D5" s="555"/>
      <c r="E5" s="555"/>
      <c r="F5" s="555"/>
      <c r="G5" s="555"/>
      <c r="H5" s="556"/>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57" t="s">
        <v>135</v>
      </c>
      <c r="C6" s="558"/>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59" t="s">
        <v>136</v>
      </c>
      <c r="C7" s="560"/>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59" t="s">
        <v>137</v>
      </c>
      <c r="C8" s="560"/>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59" t="s">
        <v>138</v>
      </c>
      <c r="C9" s="560"/>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63" t="s">
        <v>142</v>
      </c>
      <c r="C10" s="560"/>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59" t="s">
        <v>139</v>
      </c>
      <c r="C11" s="560"/>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59" t="s">
        <v>140</v>
      </c>
      <c r="C12" s="560"/>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59" t="s">
        <v>141</v>
      </c>
      <c r="C13" s="560"/>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62" t="s">
        <v>144</v>
      </c>
      <c r="C14" s="562"/>
      <c r="D14" s="364">
        <v>0.37569444444444444</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59" t="s">
        <v>151</v>
      </c>
      <c r="C16" s="559"/>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61" t="s">
        <v>152</v>
      </c>
      <c r="C17" s="559"/>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B17:C17"/>
    <mergeCell ref="B16:C16"/>
    <mergeCell ref="B14:C14"/>
    <mergeCell ref="B9:C9"/>
    <mergeCell ref="B10:C10"/>
    <mergeCell ref="B11:C11"/>
    <mergeCell ref="B12:C12"/>
    <mergeCell ref="B13:C13"/>
    <mergeCell ref="L1:L2"/>
    <mergeCell ref="A1:H5"/>
    <mergeCell ref="B6:C6"/>
    <mergeCell ref="B7:C7"/>
    <mergeCell ref="B8:C8"/>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2025-04-19T21:38:07Z</dcterms:modified>
</cp:coreProperties>
</file>